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irf-my.sharepoint.com/personal/briagin_irf_ua/Documents/IRF/A52/Ремонт/Тендер/"/>
    </mc:Choice>
  </mc:AlternateContent>
  <xr:revisionPtr revIDLastSave="178" documentId="13_ncr:1_{02497631-8B28-49B4-920C-5EDF89AFB68F}" xr6:coauthVersionLast="45" xr6:coauthVersionMax="45" xr10:uidLastSave="{288E48E5-D8CE-FC4F-A437-C8E8E297A7B3}"/>
  <bookViews>
    <workbookView xWindow="0" yWindow="500" windowWidth="25400" windowHeight="15340" xr2:uid="{00000000-000D-0000-FFFF-FFFF00000000}"/>
  </bookViews>
  <sheets>
    <sheet name="Зведена форма" sheetId="31" r:id="rId1"/>
    <sheet name="Монтаж-Демонтаж" sheetId="17" r:id="rId2"/>
    <sheet name="Скляні перегородки, двері" sheetId="18" r:id="rId3"/>
    <sheet name="Стеля" sheetId="19" r:id="rId4"/>
    <sheet name="Підлога" sheetId="20" r:id="rId5"/>
    <sheet name="Сантехнічні роботи" sheetId="21" r:id="rId6"/>
    <sheet name="ОВіК" sheetId="22" r:id="rId7"/>
    <sheet name="Електромонтажні роботи" sheetId="23" r:id="rId8"/>
    <sheet name="Меблі корпусні" sheetId="24" r:id="rId9"/>
    <sheet name="Меблі готові" sheetId="25" r:id="rId10"/>
    <sheet name="СКС" sheetId="27" r:id="rId11"/>
    <sheet name="СПЗ" sheetId="30" r:id="rId12"/>
  </sheets>
  <definedNames>
    <definedName name="materials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0" i="22" l="1"/>
  <c r="K219" i="22"/>
  <c r="K218" i="22"/>
  <c r="K217" i="22"/>
  <c r="K51" i="27" l="1"/>
  <c r="K50" i="27"/>
  <c r="K49" i="27"/>
  <c r="K48" i="27"/>
  <c r="K47" i="27"/>
  <c r="F47" i="27"/>
  <c r="K46" i="27"/>
  <c r="F46" i="27"/>
  <c r="K45" i="27"/>
  <c r="F45" i="27"/>
  <c r="K44" i="27"/>
  <c r="F44" i="27"/>
  <c r="K43" i="27"/>
  <c r="K42" i="27"/>
  <c r="K41" i="27"/>
  <c r="K40" i="27"/>
  <c r="K39" i="27"/>
  <c r="K38" i="27"/>
  <c r="K37" i="27"/>
  <c r="K36" i="27"/>
  <c r="F36" i="27"/>
  <c r="K35" i="27"/>
  <c r="K34" i="27"/>
  <c r="K33" i="27"/>
  <c r="K32" i="27"/>
  <c r="F32" i="27"/>
  <c r="K31" i="27"/>
  <c r="F31" i="27"/>
  <c r="K30" i="27"/>
  <c r="F29" i="27"/>
  <c r="F28" i="27"/>
  <c r="F27" i="27"/>
  <c r="K26" i="27"/>
  <c r="F26" i="27"/>
  <c r="K25" i="27"/>
  <c r="F24" i="27"/>
  <c r="F23" i="27"/>
  <c r="F22" i="27"/>
  <c r="K21" i="27"/>
  <c r="F21" i="27"/>
  <c r="K20" i="27"/>
  <c r="K19" i="27"/>
  <c r="K18" i="27"/>
  <c r="K17" i="27"/>
  <c r="F16" i="27"/>
  <c r="F15" i="27"/>
  <c r="F14" i="27"/>
  <c r="K13" i="27"/>
  <c r="K12" i="27"/>
  <c r="K11" i="27"/>
  <c r="K10" i="27"/>
  <c r="K9" i="27"/>
  <c r="K8" i="27"/>
  <c r="K7" i="27"/>
  <c r="F7" i="27"/>
  <c r="K6" i="27"/>
  <c r="F6" i="27"/>
  <c r="K5" i="27"/>
  <c r="K56" i="27" s="1"/>
  <c r="F5" i="27"/>
  <c r="F56" i="27" l="1"/>
  <c r="K6" i="22"/>
  <c r="K8" i="22"/>
  <c r="K9" i="22"/>
  <c r="F65" i="24" l="1"/>
  <c r="F71" i="30"/>
  <c r="K71" i="30"/>
  <c r="C10" i="31" l="1"/>
  <c r="D10" i="31" s="1"/>
  <c r="F26" i="25"/>
  <c r="C9" i="31"/>
  <c r="D9" i="31" s="1"/>
  <c r="K68" i="30"/>
  <c r="K67" i="30"/>
  <c r="K66" i="30"/>
  <c r="K65" i="30"/>
  <c r="K64" i="30"/>
  <c r="K63" i="30"/>
  <c r="K62" i="30"/>
  <c r="K61" i="30"/>
  <c r="K60" i="30"/>
  <c r="K59" i="30"/>
  <c r="K58" i="30"/>
  <c r="K57" i="30"/>
  <c r="K56" i="30"/>
  <c r="F56" i="30"/>
  <c r="K55" i="30"/>
  <c r="F55" i="30"/>
  <c r="K54" i="30"/>
  <c r="F54" i="30"/>
  <c r="K53" i="30"/>
  <c r="K52" i="30"/>
  <c r="K51" i="30"/>
  <c r="K50" i="30"/>
  <c r="K49" i="30"/>
  <c r="K48" i="30"/>
  <c r="K47" i="30"/>
  <c r="K46" i="30"/>
  <c r="K45" i="30"/>
  <c r="K44" i="30"/>
  <c r="F44" i="30"/>
  <c r="K43" i="30"/>
  <c r="K41" i="30"/>
  <c r="F41" i="30"/>
  <c r="K40" i="30"/>
  <c r="F40" i="30"/>
  <c r="K39" i="30"/>
  <c r="F39" i="30"/>
  <c r="K38" i="30"/>
  <c r="K37" i="30"/>
  <c r="K36" i="30"/>
  <c r="K35" i="30"/>
  <c r="K34" i="30"/>
  <c r="K33" i="30"/>
  <c r="K32" i="30"/>
  <c r="F32" i="30"/>
  <c r="K30" i="30"/>
  <c r="F30" i="30"/>
  <c r="K29" i="30"/>
  <c r="F29" i="30"/>
  <c r="K28" i="30"/>
  <c r="K27" i="30"/>
  <c r="K26" i="30"/>
  <c r="K25" i="30"/>
  <c r="K24" i="30"/>
  <c r="K23" i="30"/>
  <c r="K22" i="30"/>
  <c r="K21" i="30"/>
  <c r="K20" i="30"/>
  <c r="F20" i="30"/>
  <c r="K19" i="30"/>
  <c r="K17" i="30"/>
  <c r="F17" i="30"/>
  <c r="K16" i="30"/>
  <c r="F16" i="30"/>
  <c r="K15" i="30"/>
  <c r="K14" i="30"/>
  <c r="K13" i="30"/>
  <c r="K12" i="30"/>
  <c r="K11" i="30"/>
  <c r="K10" i="30"/>
  <c r="K9" i="30"/>
  <c r="K8" i="30"/>
  <c r="K7" i="30"/>
  <c r="K6" i="30"/>
  <c r="K5" i="30"/>
  <c r="E12" i="31" s="1"/>
  <c r="F5" i="30"/>
  <c r="K4" i="30"/>
  <c r="F4" i="30"/>
  <c r="C12" i="31" s="1"/>
  <c r="D12" i="31" s="1"/>
  <c r="K22" i="25"/>
  <c r="K21" i="25"/>
  <c r="K20" i="25"/>
  <c r="K19" i="25"/>
  <c r="K18" i="25"/>
  <c r="K17" i="25"/>
  <c r="K16" i="25"/>
  <c r="K15" i="25"/>
  <c r="K14" i="25"/>
  <c r="K13" i="25"/>
  <c r="K12" i="25"/>
  <c r="K11" i="25"/>
  <c r="K10" i="25"/>
  <c r="K9" i="25"/>
  <c r="K8" i="25"/>
  <c r="K7" i="25"/>
  <c r="K6" i="25"/>
  <c r="K5" i="25"/>
  <c r="K4" i="25"/>
  <c r="K61" i="24"/>
  <c r="K60" i="24"/>
  <c r="K59" i="24"/>
  <c r="K58" i="24"/>
  <c r="K57" i="24"/>
  <c r="K56" i="24"/>
  <c r="K55" i="24"/>
  <c r="K54" i="24"/>
  <c r="K53" i="24"/>
  <c r="K52" i="24"/>
  <c r="K51" i="24"/>
  <c r="K50" i="24"/>
  <c r="K49" i="24"/>
  <c r="K48" i="24"/>
  <c r="K47" i="24"/>
  <c r="K46" i="24"/>
  <c r="K45" i="24"/>
  <c r="K44" i="24"/>
  <c r="K43" i="24"/>
  <c r="K42" i="24"/>
  <c r="K41" i="24"/>
  <c r="K40" i="24"/>
  <c r="K39" i="24"/>
  <c r="K38" i="24"/>
  <c r="K37" i="24"/>
  <c r="K36" i="24"/>
  <c r="K35" i="24"/>
  <c r="K34" i="24"/>
  <c r="K33" i="24"/>
  <c r="K32" i="24"/>
  <c r="K30" i="24"/>
  <c r="K29" i="24"/>
  <c r="K28" i="24"/>
  <c r="K27" i="24"/>
  <c r="K26" i="24"/>
  <c r="K25" i="24"/>
  <c r="K24" i="24"/>
  <c r="K23" i="24"/>
  <c r="K22" i="24"/>
  <c r="K21" i="24"/>
  <c r="K20" i="24"/>
  <c r="K19" i="24"/>
  <c r="K18" i="24"/>
  <c r="K17" i="24"/>
  <c r="K16" i="24"/>
  <c r="K14" i="24"/>
  <c r="K13" i="24"/>
  <c r="K12" i="24"/>
  <c r="K11" i="24"/>
  <c r="K10" i="24"/>
  <c r="K9" i="24"/>
  <c r="K8" i="24"/>
  <c r="K7" i="24"/>
  <c r="K6" i="24"/>
  <c r="K5" i="24"/>
  <c r="K4" i="24"/>
  <c r="F80" i="23"/>
  <c r="K78" i="23"/>
  <c r="K77" i="23"/>
  <c r="F77" i="23"/>
  <c r="K76" i="23"/>
  <c r="F76" i="23"/>
  <c r="K75" i="23"/>
  <c r="F75" i="23"/>
  <c r="F74" i="23"/>
  <c r="K73" i="23"/>
  <c r="K72" i="23"/>
  <c r="F72" i="23"/>
  <c r="K71" i="23"/>
  <c r="F71" i="23"/>
  <c r="K70" i="23"/>
  <c r="F70" i="23"/>
  <c r="K69" i="23"/>
  <c r="F69" i="23"/>
  <c r="K68" i="23"/>
  <c r="F68" i="23"/>
  <c r="K67" i="23"/>
  <c r="K66" i="23"/>
  <c r="F66" i="23"/>
  <c r="K65" i="23"/>
  <c r="F65" i="23"/>
  <c r="K64" i="23"/>
  <c r="F64" i="23"/>
  <c r="K63" i="23"/>
  <c r="F63" i="23"/>
  <c r="K62" i="23"/>
  <c r="F62" i="23"/>
  <c r="K61" i="23"/>
  <c r="F61" i="23"/>
  <c r="K59" i="23"/>
  <c r="F59" i="23"/>
  <c r="K58" i="23"/>
  <c r="F58" i="23"/>
  <c r="K57" i="23"/>
  <c r="F57" i="23"/>
  <c r="K56" i="23"/>
  <c r="K55" i="23"/>
  <c r="F55" i="23"/>
  <c r="K54" i="23"/>
  <c r="K53" i="23"/>
  <c r="K52" i="23"/>
  <c r="K51" i="23"/>
  <c r="K50" i="23"/>
  <c r="K49" i="23"/>
  <c r="K48" i="23"/>
  <c r="K47" i="23"/>
  <c r="K46" i="23"/>
  <c r="F46" i="23"/>
  <c r="K45" i="23"/>
  <c r="F45" i="23"/>
  <c r="K44" i="23"/>
  <c r="F44" i="23"/>
  <c r="K42" i="23"/>
  <c r="K41" i="23"/>
  <c r="K40" i="23"/>
  <c r="K39" i="23"/>
  <c r="K38" i="23"/>
  <c r="F38" i="23"/>
  <c r="K37" i="23"/>
  <c r="K36" i="23"/>
  <c r="K35" i="23"/>
  <c r="K34" i="23"/>
  <c r="K33" i="23"/>
  <c r="K32" i="23"/>
  <c r="K31" i="23"/>
  <c r="K30" i="23"/>
  <c r="F30" i="23"/>
  <c r="K29" i="23"/>
  <c r="K28" i="23"/>
  <c r="K27" i="23"/>
  <c r="K26" i="23"/>
  <c r="F26" i="23"/>
  <c r="K24" i="23"/>
  <c r="F24" i="23"/>
  <c r="K23" i="23"/>
  <c r="F23" i="23"/>
  <c r="K22" i="23"/>
  <c r="F22" i="23"/>
  <c r="K21" i="23"/>
  <c r="F21" i="23"/>
  <c r="K20" i="23"/>
  <c r="F20" i="23"/>
  <c r="K19" i="23"/>
  <c r="K18" i="23"/>
  <c r="F18" i="23"/>
  <c r="K17" i="23"/>
  <c r="F17" i="23"/>
  <c r="K16" i="23"/>
  <c r="K15" i="23"/>
  <c r="K14" i="23"/>
  <c r="F14" i="23"/>
  <c r="K13" i="23"/>
  <c r="K12" i="23"/>
  <c r="K11" i="23"/>
  <c r="K10" i="23"/>
  <c r="K9" i="23"/>
  <c r="K8" i="23"/>
  <c r="F8" i="23"/>
  <c r="K7" i="23"/>
  <c r="K6" i="23"/>
  <c r="K5" i="23"/>
  <c r="K4" i="23"/>
  <c r="F4" i="23"/>
  <c r="K216" i="22"/>
  <c r="F216" i="22"/>
  <c r="K214" i="22"/>
  <c r="K213" i="22"/>
  <c r="K212" i="22"/>
  <c r="F212" i="22"/>
  <c r="K211" i="22"/>
  <c r="K210" i="22"/>
  <c r="K209" i="22"/>
  <c r="K208" i="22"/>
  <c r="K207" i="22"/>
  <c r="K206" i="22"/>
  <c r="K205" i="22"/>
  <c r="K204" i="22"/>
  <c r="K203" i="22"/>
  <c r="F203" i="22"/>
  <c r="K202" i="22"/>
  <c r="F202" i="22"/>
  <c r="K201" i="22"/>
  <c r="F201" i="22"/>
  <c r="K200" i="22"/>
  <c r="F200" i="22"/>
  <c r="K198" i="22"/>
  <c r="F198" i="22"/>
  <c r="K197" i="22"/>
  <c r="K196" i="22"/>
  <c r="K195" i="22"/>
  <c r="K194" i="22"/>
  <c r="K193" i="22"/>
  <c r="K192" i="22"/>
  <c r="F192" i="22"/>
  <c r="K191" i="22"/>
  <c r="F191" i="22"/>
  <c r="K190" i="22"/>
  <c r="F190" i="22"/>
  <c r="K189" i="22"/>
  <c r="K188" i="22"/>
  <c r="K187" i="22"/>
  <c r="K186" i="22"/>
  <c r="K185" i="22"/>
  <c r="K184" i="22"/>
  <c r="F184" i="22"/>
  <c r="K183" i="22"/>
  <c r="K182" i="22"/>
  <c r="K181" i="22"/>
  <c r="K180" i="22"/>
  <c r="K179" i="22"/>
  <c r="K178" i="22"/>
  <c r="K177" i="22"/>
  <c r="K176" i="22"/>
  <c r="K175" i="22"/>
  <c r="K174" i="22"/>
  <c r="K173" i="22"/>
  <c r="K172" i="22"/>
  <c r="K171" i="22"/>
  <c r="F171" i="22"/>
  <c r="K170" i="22"/>
  <c r="K169" i="22"/>
  <c r="K168" i="22"/>
  <c r="F168" i="22"/>
  <c r="K166" i="22"/>
  <c r="K165" i="22"/>
  <c r="F165" i="22"/>
  <c r="K164" i="22"/>
  <c r="K163" i="22"/>
  <c r="F163" i="22"/>
  <c r="K158" i="22"/>
  <c r="F158" i="22"/>
  <c r="K157" i="22"/>
  <c r="F157" i="22"/>
  <c r="K155" i="22"/>
  <c r="K154" i="22"/>
  <c r="F154" i="22"/>
  <c r="K153" i="22"/>
  <c r="K152" i="22"/>
  <c r="F152" i="22"/>
  <c r="K147" i="22"/>
  <c r="F147" i="22"/>
  <c r="K146" i="22"/>
  <c r="F146" i="22"/>
  <c r="K144" i="22"/>
  <c r="F144" i="22"/>
  <c r="K143" i="22"/>
  <c r="F143" i="22"/>
  <c r="K142" i="22"/>
  <c r="K141" i="22"/>
  <c r="K140" i="22"/>
  <c r="K139" i="22"/>
  <c r="K138" i="22"/>
  <c r="K137" i="22"/>
  <c r="K136" i="22"/>
  <c r="F136" i="22"/>
  <c r="K135" i="22"/>
  <c r="F135" i="22"/>
  <c r="K134" i="22"/>
  <c r="K133" i="22"/>
  <c r="K132" i="22"/>
  <c r="F132" i="22"/>
  <c r="K131" i="22"/>
  <c r="K130" i="22"/>
  <c r="K129" i="22"/>
  <c r="K128" i="22"/>
  <c r="K127" i="22"/>
  <c r="K126" i="22"/>
  <c r="K125" i="22"/>
  <c r="F125" i="22"/>
  <c r="K124" i="22"/>
  <c r="K123" i="22"/>
  <c r="K122" i="22"/>
  <c r="K121" i="22"/>
  <c r="K120" i="22"/>
  <c r="F120" i="22"/>
  <c r="K119" i="22"/>
  <c r="F119" i="22"/>
  <c r="K118" i="22"/>
  <c r="K117" i="22"/>
  <c r="F117" i="22"/>
  <c r="K116" i="22"/>
  <c r="K115" i="22"/>
  <c r="K114" i="22"/>
  <c r="F114" i="22"/>
  <c r="K113" i="22"/>
  <c r="K112" i="22"/>
  <c r="F112" i="22"/>
  <c r="K111" i="22"/>
  <c r="K110" i="22"/>
  <c r="K109" i="22"/>
  <c r="K108" i="22"/>
  <c r="K107" i="22"/>
  <c r="K106" i="22"/>
  <c r="F106" i="22"/>
  <c r="K105" i="22"/>
  <c r="F105" i="22"/>
  <c r="K104" i="22"/>
  <c r="K103" i="22"/>
  <c r="K102" i="22"/>
  <c r="K101" i="22"/>
  <c r="F101" i="22"/>
  <c r="K100" i="22"/>
  <c r="K99" i="22"/>
  <c r="K98" i="22"/>
  <c r="F98" i="22"/>
  <c r="K97" i="22"/>
  <c r="K96" i="22"/>
  <c r="K95" i="22"/>
  <c r="K94" i="22"/>
  <c r="F94" i="22"/>
  <c r="K93" i="22"/>
  <c r="F93" i="22"/>
  <c r="K92" i="22"/>
  <c r="K91" i="22"/>
  <c r="K90" i="22"/>
  <c r="K89" i="22"/>
  <c r="F89" i="22"/>
  <c r="K88" i="22"/>
  <c r="F88" i="22"/>
  <c r="K84" i="22"/>
  <c r="K83" i="22"/>
  <c r="K82" i="22"/>
  <c r="K81" i="22"/>
  <c r="F81" i="22"/>
  <c r="K80" i="22"/>
  <c r="F80" i="22"/>
  <c r="K79" i="22"/>
  <c r="F79" i="22"/>
  <c r="K78" i="22"/>
  <c r="F78" i="22"/>
  <c r="K77" i="22"/>
  <c r="F77" i="22"/>
  <c r="K76" i="22"/>
  <c r="F76" i="22"/>
  <c r="K75" i="22"/>
  <c r="F75" i="22"/>
  <c r="K74" i="22"/>
  <c r="F74" i="22"/>
  <c r="K72" i="22"/>
  <c r="K71" i="22"/>
  <c r="K70" i="22"/>
  <c r="K69" i="22"/>
  <c r="K68" i="22"/>
  <c r="K67" i="22"/>
  <c r="K66" i="22"/>
  <c r="F66" i="22"/>
  <c r="K65" i="22"/>
  <c r="F65" i="22"/>
  <c r="K64" i="22"/>
  <c r="F64" i="22"/>
  <c r="K63" i="22"/>
  <c r="K62" i="22"/>
  <c r="F62" i="22"/>
  <c r="K61" i="22"/>
  <c r="K60" i="22"/>
  <c r="K59" i="22"/>
  <c r="F59" i="22"/>
  <c r="K58" i="22"/>
  <c r="K57" i="22"/>
  <c r="K56" i="22"/>
  <c r="K55" i="22"/>
  <c r="K54" i="22"/>
  <c r="F54" i="22"/>
  <c r="K53" i="22"/>
  <c r="F53" i="22"/>
  <c r="K52" i="22"/>
  <c r="F52" i="22"/>
  <c r="K51" i="22"/>
  <c r="F51" i="22"/>
  <c r="K50" i="22"/>
  <c r="F50" i="22"/>
  <c r="K49" i="22"/>
  <c r="K48" i="22"/>
  <c r="K47" i="22"/>
  <c r="K46" i="22"/>
  <c r="F46" i="22"/>
  <c r="K45" i="22"/>
  <c r="K44" i="22"/>
  <c r="K43" i="22"/>
  <c r="K42" i="22"/>
  <c r="F42" i="22"/>
  <c r="K41" i="22"/>
  <c r="F41" i="22"/>
  <c r="K40" i="22"/>
  <c r="F40" i="22"/>
  <c r="K38" i="22"/>
  <c r="K37" i="22"/>
  <c r="K36" i="22"/>
  <c r="K35" i="22"/>
  <c r="K34" i="22"/>
  <c r="K33" i="22"/>
  <c r="K32" i="22"/>
  <c r="K31" i="22"/>
  <c r="F31" i="22"/>
  <c r="K30" i="22"/>
  <c r="F30" i="22"/>
  <c r="K29" i="22"/>
  <c r="F29" i="22"/>
  <c r="K28" i="22"/>
  <c r="K27" i="22"/>
  <c r="K26" i="22"/>
  <c r="K25" i="22"/>
  <c r="F25" i="22"/>
  <c r="K24" i="22"/>
  <c r="F24" i="22"/>
  <c r="K23" i="22"/>
  <c r="K22" i="22"/>
  <c r="K21" i="22"/>
  <c r="F21" i="22"/>
  <c r="K20" i="22"/>
  <c r="F20" i="22"/>
  <c r="K19" i="22"/>
  <c r="K18" i="22"/>
  <c r="F18" i="22"/>
  <c r="K17" i="22"/>
  <c r="F17" i="22"/>
  <c r="K16" i="22"/>
  <c r="F16" i="22"/>
  <c r="K15" i="22"/>
  <c r="K14" i="22"/>
  <c r="K13" i="22"/>
  <c r="K12" i="22"/>
  <c r="F12" i="22"/>
  <c r="K11" i="22"/>
  <c r="K10" i="22"/>
  <c r="F8" i="22"/>
  <c r="K7" i="22"/>
  <c r="F7" i="22"/>
  <c r="F6" i="22"/>
  <c r="K84" i="21"/>
  <c r="K83" i="21"/>
  <c r="K82" i="21"/>
  <c r="K81" i="21"/>
  <c r="K80" i="21"/>
  <c r="K79" i="21"/>
  <c r="K78" i="21"/>
  <c r="K77" i="21"/>
  <c r="K76" i="21"/>
  <c r="K75" i="21"/>
  <c r="K74" i="21"/>
  <c r="K73" i="21"/>
  <c r="K72" i="21"/>
  <c r="K71" i="21"/>
  <c r="K70" i="21"/>
  <c r="K69" i="21"/>
  <c r="K68" i="21"/>
  <c r="K67" i="21"/>
  <c r="K66" i="21"/>
  <c r="K64" i="21"/>
  <c r="K63" i="21"/>
  <c r="K62" i="21"/>
  <c r="K61" i="21"/>
  <c r="K60" i="21"/>
  <c r="K59" i="21"/>
  <c r="K58" i="21"/>
  <c r="K57" i="21"/>
  <c r="K56" i="21"/>
  <c r="K55" i="21"/>
  <c r="K54" i="21"/>
  <c r="K53" i="21"/>
  <c r="K52" i="21"/>
  <c r="K51" i="21"/>
  <c r="K50" i="21"/>
  <c r="K48" i="21"/>
  <c r="K47" i="21"/>
  <c r="K46" i="21"/>
  <c r="K45" i="21"/>
  <c r="K44" i="21"/>
  <c r="K43" i="21"/>
  <c r="K42" i="21"/>
  <c r="K41" i="21"/>
  <c r="K40" i="21"/>
  <c r="K39" i="21"/>
  <c r="K38" i="21"/>
  <c r="K37" i="21"/>
  <c r="K36" i="21"/>
  <c r="K35" i="21"/>
  <c r="K34" i="21"/>
  <c r="K33" i="21"/>
  <c r="K32" i="21"/>
  <c r="K31" i="21"/>
  <c r="K30" i="21"/>
  <c r="K29" i="21"/>
  <c r="K28" i="21"/>
  <c r="K27" i="21"/>
  <c r="K26" i="21"/>
  <c r="K25" i="21"/>
  <c r="K24" i="21"/>
  <c r="K23" i="21"/>
  <c r="K22" i="21"/>
  <c r="K21" i="21"/>
  <c r="K20" i="21"/>
  <c r="K19" i="21"/>
  <c r="K18" i="21"/>
  <c r="K17" i="21"/>
  <c r="K16" i="21"/>
  <c r="F16" i="21"/>
  <c r="K15" i="21"/>
  <c r="F15" i="21"/>
  <c r="K14" i="21"/>
  <c r="F14" i="21"/>
  <c r="K13" i="21"/>
  <c r="F13" i="21"/>
  <c r="K12" i="21"/>
  <c r="F12" i="21"/>
  <c r="K11" i="21"/>
  <c r="F11" i="21"/>
  <c r="K10" i="21"/>
  <c r="F10" i="21"/>
  <c r="K9" i="21"/>
  <c r="F9" i="21"/>
  <c r="K8" i="21"/>
  <c r="F8" i="21"/>
  <c r="K7" i="21"/>
  <c r="F7" i="21"/>
  <c r="K6" i="21"/>
  <c r="F6" i="21"/>
  <c r="K5" i="21"/>
  <c r="F5" i="21"/>
  <c r="K42" i="20"/>
  <c r="K41" i="20"/>
  <c r="F41" i="20"/>
  <c r="K39" i="20"/>
  <c r="K38" i="20"/>
  <c r="K37" i="20"/>
  <c r="F37" i="20"/>
  <c r="K35" i="20"/>
  <c r="K34" i="20"/>
  <c r="F34" i="20"/>
  <c r="I32" i="20"/>
  <c r="K32" i="20" s="1"/>
  <c r="K31" i="20"/>
  <c r="K30" i="20"/>
  <c r="F30" i="20"/>
  <c r="K28" i="20"/>
  <c r="I27" i="20"/>
  <c r="K27" i="20" s="1"/>
  <c r="F27" i="20"/>
  <c r="I25" i="20"/>
  <c r="K24" i="20"/>
  <c r="F24" i="20"/>
  <c r="D20" i="20"/>
  <c r="I18" i="20"/>
  <c r="K18" i="20" s="1"/>
  <c r="F18" i="20"/>
  <c r="K16" i="20"/>
  <c r="I15" i="20"/>
  <c r="K15" i="20" s="1"/>
  <c r="I14" i="20"/>
  <c r="K14" i="20" s="1"/>
  <c r="I13" i="20"/>
  <c r="K13" i="20" s="1"/>
  <c r="F13" i="20"/>
  <c r="K12" i="20"/>
  <c r="D9" i="20"/>
  <c r="D8" i="20"/>
  <c r="I6" i="20"/>
  <c r="K6" i="20" s="1"/>
  <c r="F6" i="20"/>
  <c r="I5" i="20"/>
  <c r="K5" i="20" s="1"/>
  <c r="I4" i="20"/>
  <c r="K4" i="20" s="1"/>
  <c r="F4" i="20"/>
  <c r="K97" i="19"/>
  <c r="K96" i="19"/>
  <c r="F96" i="19"/>
  <c r="K94" i="19"/>
  <c r="K93" i="19"/>
  <c r="K92" i="19"/>
  <c r="K91" i="19"/>
  <c r="I90" i="19"/>
  <c r="K90" i="19" s="1"/>
  <c r="I89" i="19"/>
  <c r="K89" i="19" s="1"/>
  <c r="K88" i="19"/>
  <c r="F88" i="19"/>
  <c r="K86" i="19"/>
  <c r="D86" i="19"/>
  <c r="F86" i="19" s="1"/>
  <c r="K84" i="19"/>
  <c r="K83" i="19"/>
  <c r="K82" i="19"/>
  <c r="K81" i="19"/>
  <c r="K80" i="19"/>
  <c r="K79" i="19"/>
  <c r="K78" i="19"/>
  <c r="F78" i="19"/>
  <c r="D76" i="19"/>
  <c r="K74" i="19"/>
  <c r="K73" i="19"/>
  <c r="K72" i="19"/>
  <c r="K71" i="19"/>
  <c r="K70" i="19"/>
  <c r="K69" i="19"/>
  <c r="K68" i="19"/>
  <c r="K67" i="19"/>
  <c r="K66" i="19"/>
  <c r="F66" i="19"/>
  <c r="K64" i="19"/>
  <c r="K63" i="19"/>
  <c r="K62" i="19"/>
  <c r="K61" i="19"/>
  <c r="K60" i="19"/>
  <c r="K59" i="19"/>
  <c r="K58" i="19"/>
  <c r="K57" i="19"/>
  <c r="K56" i="19"/>
  <c r="F56" i="19"/>
  <c r="K54" i="19"/>
  <c r="K53" i="19"/>
  <c r="F53" i="19"/>
  <c r="K51" i="19"/>
  <c r="I49" i="19"/>
  <c r="K49" i="19" s="1"/>
  <c r="D47" i="19"/>
  <c r="K45" i="19"/>
  <c r="K41" i="19"/>
  <c r="D41" i="19"/>
  <c r="F41" i="19" s="1"/>
  <c r="K39" i="19"/>
  <c r="D34" i="19"/>
  <c r="I33" i="19"/>
  <c r="K33" i="19" s="1"/>
  <c r="D32" i="19"/>
  <c r="K30" i="19"/>
  <c r="I29" i="19"/>
  <c r="K29" i="19" s="1"/>
  <c r="I28" i="19"/>
  <c r="K28" i="19" s="1"/>
  <c r="I27" i="19"/>
  <c r="K27" i="19" s="1"/>
  <c r="I26" i="19"/>
  <c r="K26" i="19" s="1"/>
  <c r="I25" i="19"/>
  <c r="K25" i="19" s="1"/>
  <c r="I24" i="19"/>
  <c r="K24" i="19" s="1"/>
  <c r="F24" i="19"/>
  <c r="K22" i="19"/>
  <c r="K21" i="19"/>
  <c r="I20" i="19"/>
  <c r="K20" i="19" s="1"/>
  <c r="I19" i="19"/>
  <c r="K19" i="19" s="1"/>
  <c r="I18" i="19"/>
  <c r="K18" i="19" s="1"/>
  <c r="I17" i="19"/>
  <c r="K17" i="19" s="1"/>
  <c r="K16" i="19"/>
  <c r="I15" i="19"/>
  <c r="K15" i="19" s="1"/>
  <c r="F15" i="19"/>
  <c r="K13" i="19"/>
  <c r="K12" i="19"/>
  <c r="I11" i="19"/>
  <c r="K11" i="19" s="1"/>
  <c r="I10" i="19"/>
  <c r="K10" i="19" s="1"/>
  <c r="I9" i="19"/>
  <c r="K9" i="19" s="1"/>
  <c r="I8" i="19"/>
  <c r="K8" i="19" s="1"/>
  <c r="K7" i="19"/>
  <c r="I6" i="19"/>
  <c r="K6" i="19" s="1"/>
  <c r="F6" i="19"/>
  <c r="K4" i="19"/>
  <c r="F4" i="19"/>
  <c r="K87" i="18"/>
  <c r="F87" i="18"/>
  <c r="K86" i="18"/>
  <c r="K85" i="18"/>
  <c r="K84" i="18"/>
  <c r="K83" i="18"/>
  <c r="K82" i="18"/>
  <c r="K81" i="18"/>
  <c r="K80" i="18"/>
  <c r="K79" i="18"/>
  <c r="K78" i="18"/>
  <c r="K77" i="18"/>
  <c r="F77" i="18"/>
  <c r="K75" i="18"/>
  <c r="K74" i="18"/>
  <c r="F74" i="18"/>
  <c r="K72" i="18"/>
  <c r="K71" i="18"/>
  <c r="K70" i="18"/>
  <c r="F70" i="18"/>
  <c r="K67" i="18"/>
  <c r="K66" i="18"/>
  <c r="F66" i="18"/>
  <c r="K65" i="18"/>
  <c r="K64" i="18"/>
  <c r="K63" i="18"/>
  <c r="K62" i="18"/>
  <c r="I61" i="18"/>
  <c r="K61" i="18" s="1"/>
  <c r="K60" i="18"/>
  <c r="F60" i="18"/>
  <c r="K58" i="18"/>
  <c r="I57" i="18"/>
  <c r="K57" i="18" s="1"/>
  <c r="I56" i="18"/>
  <c r="K56" i="18" s="1"/>
  <c r="F56" i="18"/>
  <c r="K54" i="18"/>
  <c r="K53" i="18"/>
  <c r="K52" i="18"/>
  <c r="K51" i="18"/>
  <c r="K50" i="18"/>
  <c r="K49" i="18"/>
  <c r="K48" i="18"/>
  <c r="F48" i="18"/>
  <c r="K46" i="18"/>
  <c r="K45" i="18"/>
  <c r="K44" i="18"/>
  <c r="K43" i="18"/>
  <c r="K42" i="18"/>
  <c r="K41" i="18"/>
  <c r="K40" i="18"/>
  <c r="F40" i="18"/>
  <c r="K37" i="18"/>
  <c r="I35" i="18"/>
  <c r="K34" i="18"/>
  <c r="K33" i="18"/>
  <c r="K32" i="18"/>
  <c r="D32" i="18"/>
  <c r="F32" i="18" s="1"/>
  <c r="K30" i="18"/>
  <c r="F30" i="18"/>
  <c r="D28" i="18"/>
  <c r="D24" i="18"/>
  <c r="D22" i="18"/>
  <c r="D20" i="18"/>
  <c r="D18" i="18"/>
  <c r="F18" i="18" s="1"/>
  <c r="D16" i="18"/>
  <c r="F16" i="18" s="1"/>
  <c r="D14" i="18"/>
  <c r="D12" i="18"/>
  <c r="I10" i="18"/>
  <c r="K10" i="18" s="1"/>
  <c r="F10" i="18"/>
  <c r="I9" i="18"/>
  <c r="K9" i="18" s="1"/>
  <c r="F9" i="18"/>
  <c r="I8" i="18"/>
  <c r="K8" i="18" s="1"/>
  <c r="F8" i="18"/>
  <c r="I7" i="18"/>
  <c r="K7" i="18" s="1"/>
  <c r="F7" i="18"/>
  <c r="K6" i="18"/>
  <c r="I5" i="18"/>
  <c r="K5" i="18" s="1"/>
  <c r="K4" i="18"/>
  <c r="F4" i="18"/>
  <c r="K179" i="17"/>
  <c r="I178" i="17"/>
  <c r="K178" i="17" s="1"/>
  <c r="I177" i="17"/>
  <c r="K177" i="17" s="1"/>
  <c r="I176" i="17"/>
  <c r="K176" i="17" s="1"/>
  <c r="I175" i="17"/>
  <c r="K175" i="17" s="1"/>
  <c r="F175" i="17"/>
  <c r="I173" i="17"/>
  <c r="K173" i="17" s="1"/>
  <c r="F173" i="17"/>
  <c r="K171" i="17"/>
  <c r="I169" i="17"/>
  <c r="F169" i="17"/>
  <c r="I167" i="17"/>
  <c r="K167" i="17" s="1"/>
  <c r="F167" i="17"/>
  <c r="K165" i="17"/>
  <c r="F165" i="17"/>
  <c r="K163" i="17"/>
  <c r="D158" i="17"/>
  <c r="I157" i="17"/>
  <c r="K157" i="17" s="1"/>
  <c r="D156" i="17"/>
  <c r="K154" i="17"/>
  <c r="K153" i="17"/>
  <c r="I152" i="17"/>
  <c r="K152" i="17" s="1"/>
  <c r="I151" i="17"/>
  <c r="K151" i="17" s="1"/>
  <c r="K150" i="17"/>
  <c r="I149" i="17"/>
  <c r="K149" i="17" s="1"/>
  <c r="K148" i="17"/>
  <c r="I147" i="17"/>
  <c r="K147" i="17" s="1"/>
  <c r="F147" i="17"/>
  <c r="K145" i="17"/>
  <c r="K144" i="17"/>
  <c r="I143" i="17"/>
  <c r="K143" i="17" s="1"/>
  <c r="K142" i="17"/>
  <c r="K141" i="17"/>
  <c r="K140" i="17"/>
  <c r="F140" i="17"/>
  <c r="I138" i="17"/>
  <c r="K138" i="17" s="1"/>
  <c r="I137" i="17"/>
  <c r="K137" i="17" s="1"/>
  <c r="I136" i="17"/>
  <c r="K136" i="17" s="1"/>
  <c r="F136" i="17"/>
  <c r="I134" i="17"/>
  <c r="K134" i="17" s="1"/>
  <c r="I133" i="17"/>
  <c r="K133" i="17" s="1"/>
  <c r="I132" i="17"/>
  <c r="K132" i="17" s="1"/>
  <c r="F132" i="17"/>
  <c r="I129" i="17"/>
  <c r="K129" i="17" s="1"/>
  <c r="I128" i="17"/>
  <c r="K128" i="17" s="1"/>
  <c r="I127" i="17"/>
  <c r="K127" i="17" s="1"/>
  <c r="I126" i="17"/>
  <c r="K126" i="17" s="1"/>
  <c r="I125" i="17"/>
  <c r="K125" i="17" s="1"/>
  <c r="I124" i="17"/>
  <c r="K124" i="17" s="1"/>
  <c r="I123" i="17"/>
  <c r="K123" i="17" s="1"/>
  <c r="F123" i="17"/>
  <c r="K121" i="17"/>
  <c r="I120" i="17"/>
  <c r="K120" i="17" s="1"/>
  <c r="I119" i="17"/>
  <c r="K119" i="17" s="1"/>
  <c r="I118" i="17"/>
  <c r="K118" i="17" s="1"/>
  <c r="I117" i="17"/>
  <c r="K117" i="17" s="1"/>
  <c r="I116" i="17"/>
  <c r="K116" i="17" s="1"/>
  <c r="I115" i="17"/>
  <c r="K115" i="17" s="1"/>
  <c r="I114" i="17"/>
  <c r="K114" i="17" s="1"/>
  <c r="F114" i="17"/>
  <c r="K112" i="17"/>
  <c r="I111" i="17"/>
  <c r="K111" i="17" s="1"/>
  <c r="I110" i="17"/>
  <c r="K110" i="17" s="1"/>
  <c r="F110" i="17"/>
  <c r="K108" i="17"/>
  <c r="K107" i="17"/>
  <c r="K106" i="17"/>
  <c r="F106" i="17"/>
  <c r="I104" i="17"/>
  <c r="K104" i="17" s="1"/>
  <c r="I103" i="17"/>
  <c r="K103" i="17" s="1"/>
  <c r="I102" i="17"/>
  <c r="K102" i="17" s="1"/>
  <c r="I101" i="17"/>
  <c r="K101" i="17" s="1"/>
  <c r="I100" i="17"/>
  <c r="K100" i="17" s="1"/>
  <c r="I99" i="17"/>
  <c r="K99" i="17" s="1"/>
  <c r="I98" i="17"/>
  <c r="K98" i="17" s="1"/>
  <c r="I97" i="17"/>
  <c r="K97" i="17" s="1"/>
  <c r="F97" i="17"/>
  <c r="I95" i="17"/>
  <c r="K95" i="17" s="1"/>
  <c r="I94" i="17"/>
  <c r="K94" i="17" s="1"/>
  <c r="I93" i="17"/>
  <c r="K93" i="17" s="1"/>
  <c r="I92" i="17"/>
  <c r="K92" i="17" s="1"/>
  <c r="I91" i="17"/>
  <c r="K91" i="17" s="1"/>
  <c r="I90" i="17"/>
  <c r="K90" i="17" s="1"/>
  <c r="I89" i="17"/>
  <c r="K89" i="17" s="1"/>
  <c r="I88" i="17"/>
  <c r="K88" i="17" s="1"/>
  <c r="F88" i="17"/>
  <c r="I86" i="17"/>
  <c r="I85" i="17"/>
  <c r="K85" i="17" s="1"/>
  <c r="I84" i="17"/>
  <c r="K84" i="17" s="1"/>
  <c r="I83" i="17"/>
  <c r="K83" i="17" s="1"/>
  <c r="I82" i="17"/>
  <c r="K82" i="17" s="1"/>
  <c r="I81" i="17"/>
  <c r="K81" i="17" s="1"/>
  <c r="K80" i="17"/>
  <c r="I79" i="17"/>
  <c r="K79" i="17" s="1"/>
  <c r="F79" i="17"/>
  <c r="I77" i="17"/>
  <c r="K77" i="17" s="1"/>
  <c r="K76" i="17"/>
  <c r="I75" i="17"/>
  <c r="K74" i="17"/>
  <c r="I73" i="17"/>
  <c r="K73" i="17" s="1"/>
  <c r="I72" i="17"/>
  <c r="K72" i="17" s="1"/>
  <c r="I71" i="17"/>
  <c r="K71" i="17" s="1"/>
  <c r="I70" i="17"/>
  <c r="K70" i="17" s="1"/>
  <c r="I69" i="17"/>
  <c r="K69" i="17" s="1"/>
  <c r="I68" i="17"/>
  <c r="K68" i="17" s="1"/>
  <c r="F68" i="17"/>
  <c r="K66" i="17"/>
  <c r="I65" i="17"/>
  <c r="I64" i="17"/>
  <c r="K64" i="17" s="1"/>
  <c r="I63" i="17"/>
  <c r="K63" i="17" s="1"/>
  <c r="I62" i="17"/>
  <c r="K62" i="17" s="1"/>
  <c r="I61" i="17"/>
  <c r="K61" i="17" s="1"/>
  <c r="I60" i="17"/>
  <c r="K60" i="17" s="1"/>
  <c r="I59" i="17"/>
  <c r="K59" i="17" s="1"/>
  <c r="I58" i="17"/>
  <c r="K58" i="17" s="1"/>
  <c r="F58" i="17"/>
  <c r="K56" i="17"/>
  <c r="I55" i="17"/>
  <c r="I54" i="17"/>
  <c r="K54" i="17" s="1"/>
  <c r="I53" i="17"/>
  <c r="K53" i="17" s="1"/>
  <c r="I52" i="17"/>
  <c r="K52" i="17" s="1"/>
  <c r="I51" i="17"/>
  <c r="K51" i="17" s="1"/>
  <c r="I50" i="17"/>
  <c r="K50" i="17" s="1"/>
  <c r="I49" i="17"/>
  <c r="K49" i="17" s="1"/>
  <c r="I48" i="17"/>
  <c r="K48" i="17" s="1"/>
  <c r="F48" i="17"/>
  <c r="I46" i="17"/>
  <c r="I45" i="17"/>
  <c r="K45" i="17" s="1"/>
  <c r="I44" i="17"/>
  <c r="K44" i="17" s="1"/>
  <c r="I43" i="17"/>
  <c r="K43" i="17" s="1"/>
  <c r="I42" i="17"/>
  <c r="K42" i="17" s="1"/>
  <c r="I41" i="17"/>
  <c r="K41" i="17" s="1"/>
  <c r="I40" i="17"/>
  <c r="K40" i="17" s="1"/>
  <c r="I39" i="17"/>
  <c r="K39" i="17" s="1"/>
  <c r="F39" i="17"/>
  <c r="I37" i="17"/>
  <c r="K37" i="17" s="1"/>
  <c r="I36" i="17"/>
  <c r="K36" i="17" s="1"/>
  <c r="I35" i="17"/>
  <c r="K35" i="17" s="1"/>
  <c r="I34" i="17"/>
  <c r="K34" i="17" s="1"/>
  <c r="I33" i="17"/>
  <c r="K33" i="17" s="1"/>
  <c r="I32" i="17"/>
  <c r="K32" i="17" s="1"/>
  <c r="I31" i="17"/>
  <c r="K31" i="17" s="1"/>
  <c r="I30" i="17"/>
  <c r="K30" i="17" s="1"/>
  <c r="F30" i="17"/>
  <c r="F27" i="17"/>
  <c r="F26" i="17"/>
  <c r="F25" i="17"/>
  <c r="K24" i="17"/>
  <c r="F24" i="17"/>
  <c r="K21" i="17"/>
  <c r="K20" i="17"/>
  <c r="F20" i="17"/>
  <c r="K19" i="17"/>
  <c r="F19" i="17"/>
  <c r="K17" i="17"/>
  <c r="K16" i="17"/>
  <c r="F16" i="17"/>
  <c r="K15" i="17"/>
  <c r="K14" i="17"/>
  <c r="K13" i="17"/>
  <c r="K12" i="17"/>
  <c r="K11" i="17"/>
  <c r="K10" i="17"/>
  <c r="K9" i="17"/>
  <c r="K8" i="17"/>
  <c r="K7" i="17"/>
  <c r="F7" i="17"/>
  <c r="K4" i="17"/>
  <c r="F4" i="17"/>
  <c r="K26" i="25" l="1"/>
  <c r="E10" i="31" s="1"/>
  <c r="K65" i="24"/>
  <c r="E9" i="31" s="1"/>
  <c r="K83" i="23"/>
  <c r="E8" i="31" s="1"/>
  <c r="F83" i="23"/>
  <c r="C8" i="31" s="1"/>
  <c r="D8" i="31" s="1"/>
  <c r="K223" i="22"/>
  <c r="E7" i="31" s="1"/>
  <c r="F223" i="22"/>
  <c r="K86" i="21"/>
  <c r="E6" i="31" s="1"/>
  <c r="F86" i="21"/>
  <c r="C6" i="31" s="1"/>
  <c r="D6" i="31" s="1"/>
  <c r="C7" i="31"/>
  <c r="D7" i="31" s="1"/>
  <c r="C11" i="31"/>
  <c r="D11" i="31" s="1"/>
  <c r="E11" i="31"/>
  <c r="I8" i="20"/>
  <c r="K8" i="20" s="1"/>
  <c r="F8" i="20"/>
  <c r="I11" i="20"/>
  <c r="K11" i="20" s="1"/>
  <c r="I10" i="20"/>
  <c r="K10" i="20" s="1"/>
  <c r="I9" i="20"/>
  <c r="K9" i="20" s="1"/>
  <c r="F9" i="20"/>
  <c r="D22" i="20"/>
  <c r="I20" i="20"/>
  <c r="K20" i="20" s="1"/>
  <c r="F20" i="20"/>
  <c r="K25" i="20"/>
  <c r="I32" i="19"/>
  <c r="K32" i="19" s="1"/>
  <c r="F32" i="19"/>
  <c r="D43" i="19"/>
  <c r="I38" i="19"/>
  <c r="K38" i="19" s="1"/>
  <c r="I37" i="19"/>
  <c r="K37" i="19" s="1"/>
  <c r="I36" i="19"/>
  <c r="K36" i="19" s="1"/>
  <c r="I35" i="19"/>
  <c r="K35" i="19" s="1"/>
  <c r="I34" i="19"/>
  <c r="K34" i="19" s="1"/>
  <c r="F34" i="19"/>
  <c r="D49" i="19"/>
  <c r="I47" i="19"/>
  <c r="K47" i="19" s="1"/>
  <c r="F47" i="19"/>
  <c r="I76" i="19"/>
  <c r="K76" i="19" s="1"/>
  <c r="F76" i="19"/>
  <c r="I12" i="18"/>
  <c r="K12" i="18" s="1"/>
  <c r="K89" i="18" s="1"/>
  <c r="F12" i="18"/>
  <c r="I14" i="18"/>
  <c r="K14" i="18" s="1"/>
  <c r="F14" i="18"/>
  <c r="I20" i="18"/>
  <c r="K20" i="18" s="1"/>
  <c r="F20" i="18"/>
  <c r="I22" i="18"/>
  <c r="K22" i="18" s="1"/>
  <c r="F22" i="18"/>
  <c r="D26" i="18"/>
  <c r="F26" i="18" s="1"/>
  <c r="I24" i="18"/>
  <c r="K24" i="18" s="1"/>
  <c r="F24" i="18"/>
  <c r="I28" i="18"/>
  <c r="K28" i="18" s="1"/>
  <c r="F28" i="18"/>
  <c r="I38" i="18"/>
  <c r="K38" i="18" s="1"/>
  <c r="I36" i="18"/>
  <c r="K36" i="18" s="1"/>
  <c r="K35" i="18"/>
  <c r="K46" i="17"/>
  <c r="K55" i="17"/>
  <c r="K65" i="17"/>
  <c r="K75" i="17"/>
  <c r="K86" i="17"/>
  <c r="I156" i="17"/>
  <c r="K156" i="17" s="1"/>
  <c r="F156" i="17"/>
  <c r="F181" i="17" s="1"/>
  <c r="I162" i="17"/>
  <c r="K162" i="17" s="1"/>
  <c r="I161" i="17"/>
  <c r="K161" i="17" s="1"/>
  <c r="I160" i="17"/>
  <c r="K160" i="17" s="1"/>
  <c r="I159" i="17"/>
  <c r="K159" i="17" s="1"/>
  <c r="I158" i="17"/>
  <c r="K158" i="17" s="1"/>
  <c r="F158" i="17"/>
  <c r="I170" i="17"/>
  <c r="K170" i="17" s="1"/>
  <c r="K169" i="17"/>
  <c r="E3" i="31" l="1"/>
  <c r="F89" i="18"/>
  <c r="C3" i="31" s="1"/>
  <c r="D3" i="31" s="1"/>
  <c r="C2" i="31"/>
  <c r="D2" i="31" s="1"/>
  <c r="E2" i="31"/>
  <c r="K181" i="17"/>
  <c r="I22" i="20"/>
  <c r="K22" i="20" s="1"/>
  <c r="F22" i="20"/>
  <c r="I50" i="19"/>
  <c r="K50" i="19" s="1"/>
  <c r="F49" i="19"/>
  <c r="I44" i="19"/>
  <c r="K44" i="19" s="1"/>
  <c r="I43" i="19"/>
  <c r="K43" i="19" s="1"/>
  <c r="K99" i="19" s="1"/>
  <c r="E4" i="31" s="1"/>
  <c r="F43" i="19"/>
  <c r="F99" i="19" s="1"/>
  <c r="C4" i="31" s="1"/>
  <c r="D4" i="31" s="1"/>
  <c r="K45" i="20" l="1"/>
  <c r="E5" i="31" s="1"/>
  <c r="E15" i="31" s="1"/>
  <c r="F45" i="20"/>
  <c r="C5" i="31" s="1"/>
  <c r="D5" i="31" s="1"/>
  <c r="D15" i="31" s="1"/>
  <c r="D16" i="31" s="1"/>
  <c r="D20" i="31" s="1"/>
  <c r="E17" i="31" l="1"/>
  <c r="E18" i="31"/>
  <c r="E20" i="31" l="1"/>
  <c r="D22" i="31" s="1"/>
</calcChain>
</file>

<file path=xl/sharedStrings.xml><?xml version="1.0" encoding="utf-8"?>
<sst xmlns="http://schemas.openxmlformats.org/spreadsheetml/2006/main" count="2546" uniqueCount="978">
  <si>
    <t>Розділи</t>
  </si>
  <si>
    <t>Роботи</t>
  </si>
  <si>
    <t>Роботи з ПДВ</t>
  </si>
  <si>
    <t>Матеріали</t>
  </si>
  <si>
    <t>Примітки</t>
  </si>
  <si>
    <t>Монтаж-Демонтаж</t>
  </si>
  <si>
    <t>Скляні перегородки, двері</t>
  </si>
  <si>
    <t>Стеля</t>
  </si>
  <si>
    <t>Підлога</t>
  </si>
  <si>
    <t>Сантехнічні роботи</t>
  </si>
  <si>
    <t>ОВіК</t>
  </si>
  <si>
    <t>Електромонтажні роботи</t>
  </si>
  <si>
    <t>Меблі корпусні</t>
  </si>
  <si>
    <t>Меблі готові</t>
  </si>
  <si>
    <t>Матеріали частково постачаються замовником</t>
  </si>
  <si>
    <t>СКС</t>
  </si>
  <si>
    <t>СПЗ</t>
  </si>
  <si>
    <t>Номінований виконавець на роботи і матеріали</t>
  </si>
  <si>
    <t>всього по кошторису</t>
  </si>
  <si>
    <t>Загальновиробничі витрати</t>
  </si>
  <si>
    <t>Транспортні витрати</t>
  </si>
  <si>
    <t>Малоцінні та витратні матеріали</t>
  </si>
  <si>
    <t>Всього</t>
  </si>
  <si>
    <t>Разом, роботи і матеріали</t>
  </si>
  <si>
    <t>№ з/п</t>
  </si>
  <si>
    <t>Найменування робіт і витрат</t>
  </si>
  <si>
    <t>Од. вим.</t>
  </si>
  <si>
    <t>Кіл-ть</t>
  </si>
  <si>
    <t>Робота (без ПДВ)</t>
  </si>
  <si>
    <t>Матеріали (з ПДВ)</t>
  </si>
  <si>
    <t>Примітка</t>
  </si>
  <si>
    <t>Варт. од. грн.</t>
  </si>
  <si>
    <t>Варт.грн.</t>
  </si>
  <si>
    <t>Найменування матеріалів</t>
  </si>
  <si>
    <t>Демонтажні роботи</t>
  </si>
  <si>
    <t>Демонтаж/монтаж існуючих трас повітропроводів</t>
  </si>
  <si>
    <t>посл.</t>
  </si>
  <si>
    <t>Розхідний матеріал</t>
  </si>
  <si>
    <t>комп.</t>
  </si>
  <si>
    <t>Нарощування плити перекриття</t>
  </si>
  <si>
    <t>Монтажні та зварювальні роботи</t>
  </si>
  <si>
    <t>м2</t>
  </si>
  <si>
    <t>Кутик 45х45х3 мм</t>
  </si>
  <si>
    <t>м.п.</t>
  </si>
  <si>
    <t>Армамтура А400 16мм</t>
  </si>
  <si>
    <t>Армамтура А400 12мм</t>
  </si>
  <si>
    <t>Труба 40х40х5 мм</t>
  </si>
  <si>
    <t>Пластина 100х100х5</t>
  </si>
  <si>
    <t>шт</t>
  </si>
  <si>
    <t>Капсула HILTI HIT-RE 500 V3, 0,5 л</t>
  </si>
  <si>
    <t>Електроди Патон</t>
  </si>
  <si>
    <t>кг</t>
  </si>
  <si>
    <t>Антикорозійна емаль ПОЛІФАРБ 3в1 0,9кг</t>
  </si>
  <si>
    <t>Дріт в'язальний сталевий 1.6 мм, 100 м</t>
  </si>
  <si>
    <t>Підготовчі роботи та бетонування</t>
  </si>
  <si>
    <t>Готова бетонна суміш Siltek В-25</t>
  </si>
  <si>
    <t>ОСБ 18мм</t>
  </si>
  <si>
    <t>Влаштування цегляноъ кладки (вхідна група)</t>
  </si>
  <si>
    <t>Зведення стіни в одну цеглу</t>
  </si>
  <si>
    <t>Пісок річковий, 40 кг</t>
  </si>
  <si>
    <t>Приготування розчину вручну</t>
  </si>
  <si>
    <t>м3</t>
  </si>
  <si>
    <t>Цемент М-500, 25 кг</t>
  </si>
  <si>
    <t>Цегла одинарна М-100</t>
  </si>
  <si>
    <t>Прорізання отворів в бетонній стіні</t>
  </si>
  <si>
    <t>Отвір 1100х400 мм +6.750</t>
  </si>
  <si>
    <t>комл.</t>
  </si>
  <si>
    <t>Отвір 850х550 мм +6.750</t>
  </si>
  <si>
    <t>Отвір 550Х400 мм +6.750</t>
  </si>
  <si>
    <t>Отвори ф300 мм +6.780</t>
  </si>
  <si>
    <t>Перегородки</t>
  </si>
  <si>
    <t>Влаштування перегородок т.150мм з гіпсокартону на каркасі з оцинкованої сталі товщиною  100мм(двошарова обшивка з звукоізоляціею)</t>
  </si>
  <si>
    <t xml:space="preserve">Гіпсокартон  стіновий  12,5мм </t>
  </si>
  <si>
    <t>Профіль UW100  0,55мм</t>
  </si>
  <si>
    <t>м</t>
  </si>
  <si>
    <t>Профіль CW 100  0,55мм</t>
  </si>
  <si>
    <t xml:space="preserve">Дюбель -шуруп  6х40 </t>
  </si>
  <si>
    <t>Саморіз 3,5*9,5 мм  по металу</t>
  </si>
  <si>
    <t>Саморіз 3,5*35 мм по металу</t>
  </si>
  <si>
    <t>Стрічка звукоізолююча самоклеюча, 90мм</t>
  </si>
  <si>
    <t>Звукоізоляція Ізовер 100мм</t>
  </si>
  <si>
    <t>Влаштування перегородок т=125мм  з вологостійкого гіпсокартону на каркасі з оцинкованої сталі  товщиною  75мм (двошарова обшивка, звукоізоляція)</t>
  </si>
  <si>
    <t>Гіпсокартон  стіновий  12,5мм вологостійкий</t>
  </si>
  <si>
    <t>Профіль UW75  0,55мм</t>
  </si>
  <si>
    <t>Профіль CW 75  0,55мм</t>
  </si>
  <si>
    <t>Стрічка звукоізолююча самоклеюча, 70мм</t>
  </si>
  <si>
    <t>Звукоізоляція Ізовер 75мм</t>
  </si>
  <si>
    <t>Влаштування перегородок т=125мм  з вогнетривкого гіпсокартону на каркасі з оцинкованої сталі  товщиною  75мм (двошарова обшивка, звукоізоляція)</t>
  </si>
  <si>
    <t>Гіпсокартон  стіновий  12,5мм вогнестійкий</t>
  </si>
  <si>
    <t>Герметик, 280 мл</t>
  </si>
  <si>
    <t>Влаштування перегородок з гіпсокартону на каркасі з оцинкованої сталі  товщиною  75мм (двошарова обшивка, звукоізоляція)</t>
  </si>
  <si>
    <t>Влаштування перегородок т125мм з гіпсокартону на каркасі з оцинкованої сталі  товщиною  75мм (двошарова обшивка, звукоізоляція) над прорізами зі скляними перегородками та розсувною перегородкою</t>
  </si>
  <si>
    <t>Профіль UА100  0,55мм</t>
  </si>
  <si>
    <t>Брус дер"яний 50х75 мм  антисептований</t>
  </si>
  <si>
    <t xml:space="preserve">Влаштування перегородок т=125мм  з гіпсокартону на каркасі з оцинкованої сталі  товщиною  75мм (двошарова обшивка, звукоізоляція) над прорізами без заповнень </t>
  </si>
  <si>
    <t>Влаштування перегородок  т=100мм з вологостійкого гіпсокартону на каркасі з оцинкованої сталі  товщиною  75мм(одношарова обшивка, звукоізоляція)</t>
  </si>
  <si>
    <t>Саморіз 3,5*25 мм по металу</t>
  </si>
  <si>
    <t>Звукоізоляція Ізовер 50мм</t>
  </si>
  <si>
    <t>Влаштування перегородок з гіпсокартону на каркасі з оцинкованої сталі  товщиною  75мм(одношарова обшивка, звукоізоляція)</t>
  </si>
  <si>
    <t>Підсилення  прорізів в перегородках профілем UА100</t>
  </si>
  <si>
    <t>проріз</t>
  </si>
  <si>
    <t>Профіль UА100  0,55мм  4м</t>
  </si>
  <si>
    <t>Монтажний набір Профсталь для профиля UA100 (кутик,саморізи,дюбеля)</t>
  </si>
  <si>
    <t>компл</t>
  </si>
  <si>
    <t>Підсилення перегородок  листами OSB</t>
  </si>
  <si>
    <t>Плита Kronospan OSB-3 2500x1250x10 мм</t>
  </si>
  <si>
    <t>Влаштування фальстін з  гіпсокартону на каркасі з оцинкованої сталі  50мм (двошарова обшивка з без звукоізоляції)</t>
  </si>
  <si>
    <t>Профіль UW 50  0,55мм</t>
  </si>
  <si>
    <t>Профіль CW 50 0,55мм</t>
  </si>
  <si>
    <t>Стрічка звукоізолююча самоклеюча, 30мм</t>
  </si>
  <si>
    <t>Підвіс прямий 60х125 мм</t>
  </si>
  <si>
    <t>Влаштування фальстін з гіпсокартону на каркасі з оцинкованої сталі ,27мм(одношарова обшивка з без звукоізоляції)</t>
  </si>
  <si>
    <t>Профіль UD 27  0,55мм</t>
  </si>
  <si>
    <t>Профіль CD 60 0,55мм</t>
  </si>
  <si>
    <t xml:space="preserve">Наклеювання вологостійкого гіпсокартону на стіни  в 2 шари </t>
  </si>
  <si>
    <t>Клей ферфлікс</t>
  </si>
  <si>
    <t>Грунт глибокопроникаючий Ceresit CT17</t>
  </si>
  <si>
    <t>л</t>
  </si>
  <si>
    <t xml:space="preserve">Наклеювання  гіпсокартону на стіни  в 2 шари </t>
  </si>
  <si>
    <t>Влаштування арочного прорізу</t>
  </si>
  <si>
    <t>Гипсокартон арочный Plato Arka Ready 1200х500х6.5 мм</t>
  </si>
  <si>
    <t>Улаштування   з гіпсокартонних листів на металевому каркасі вертикальних опусків над нішами</t>
  </si>
  <si>
    <r>
      <rPr>
        <sz val="10"/>
        <rFont val="Arial"/>
        <family val="2"/>
        <charset val="204"/>
      </rPr>
      <t xml:space="preserve">шт </t>
    </r>
  </si>
  <si>
    <t>Стрічка звукоізолююча самоклеюча, 50мм</t>
  </si>
  <si>
    <t xml:space="preserve">Опорядження стиків г.к. </t>
  </si>
  <si>
    <t>Серпянка 50мм</t>
  </si>
  <si>
    <t>Шпаклівка фугенфюллер</t>
  </si>
  <si>
    <t>Шпаклювання   стін по склополотну під фарбування, фотошпалери,декоративні панелі</t>
  </si>
  <si>
    <t>Шпаклівка  мультифініш</t>
  </si>
  <si>
    <t>Клей Wall Super  Бостік  В70 15л</t>
  </si>
  <si>
    <t>Склохолст</t>
  </si>
  <si>
    <t xml:space="preserve">Шпаклівка SEMIN Sem Joint Compоund </t>
  </si>
  <si>
    <t>Папір шліфувальний</t>
  </si>
  <si>
    <t>Установка штукатурних кутиків</t>
  </si>
  <si>
    <t>Кутик перфорований  27х27мм</t>
  </si>
  <si>
    <t xml:space="preserve">Грунтування  стін  під фарбування </t>
  </si>
  <si>
    <t>Грунт глибокопроникаючий Kolorit Standart Grunt</t>
  </si>
  <si>
    <t>Фарбування  стін водно-дисперсійною фарбою за 2 рази</t>
  </si>
  <si>
    <t>Фарба Kolorit Legenda , біла RAL 9003</t>
  </si>
  <si>
    <t>Фарба Kolorit Legenda тонована</t>
  </si>
  <si>
    <t>Стрічка малярна 48мм 20м</t>
  </si>
  <si>
    <t>Грунтування  стін  під плитку</t>
  </si>
  <si>
    <t>Облицювання стін  плиткою</t>
  </si>
  <si>
    <t>Плитка керамічна 600х600 світло-сіра</t>
  </si>
  <si>
    <t xml:space="preserve">м2 </t>
  </si>
  <si>
    <t>Плитка керамічна 100х100 біла АТЕМ GRUNGE W 100X100</t>
  </si>
  <si>
    <t>Клей  СМ-117</t>
  </si>
  <si>
    <t xml:space="preserve">Затирка СЕ-40,  </t>
  </si>
  <si>
    <t>Хрестики (100шт)</t>
  </si>
  <si>
    <t>уп</t>
  </si>
  <si>
    <t>Всього роботи</t>
  </si>
  <si>
    <t>Всього матеріали</t>
  </si>
  <si>
    <t>Скляні перегородки та двері</t>
  </si>
  <si>
    <t>Монтаж суцільноскляних перегородок в 1 скло</t>
  </si>
  <si>
    <t>Алюмінієвий профіль для скляних перегородок</t>
  </si>
  <si>
    <t>м.пог..</t>
  </si>
  <si>
    <t>Скло гартоване 10мм.  ( в один контур )</t>
  </si>
  <si>
    <t>м2.</t>
  </si>
  <si>
    <t>Силіконова 3М стічка (для склеювання скла)</t>
  </si>
  <si>
    <t>м.пог.</t>
  </si>
  <si>
    <t>Монтаж та регулювання фурнітури маятникових дверей</t>
  </si>
  <si>
    <t>компл.</t>
  </si>
  <si>
    <t>Фурнітура до суцільноскляних дверей</t>
  </si>
  <si>
    <t>Монтаж та регулювання фурнітури розсувних дверей</t>
  </si>
  <si>
    <t>Фурнітура до суцільноскляних розсувних дверей</t>
  </si>
  <si>
    <t>Монтаж суцільноскляних маятникових дверей та регулювання фурнітури</t>
  </si>
  <si>
    <t>Монтаж плівки на скло</t>
  </si>
  <si>
    <t>Матова плівка сатин</t>
  </si>
  <si>
    <t>Кольорова напівпрозора плівка</t>
  </si>
  <si>
    <t xml:space="preserve">Кольорова плівка з візерунком </t>
  </si>
  <si>
    <t>Фарбування алюмінієвого профілю в RAL</t>
  </si>
  <si>
    <t>Фарбування фурнітури в RAL</t>
  </si>
  <si>
    <t>Монтаж протипожежної алюмінієвої конструкції 1450*2110мм. Вікно вхідної групи.</t>
  </si>
  <si>
    <t>Вікно (у два скла) Конструкція пожежостійка EIW 30 . Профіль: Alumil  
Колір: фарбування по Ral . Заповнення: 
скло вогнетривке Pyrobel 16 AGC
 (EIW 30)</t>
  </si>
  <si>
    <t>Монтаж протипожежних алюмінієвих дверей 1000*2100мм.</t>
  </si>
  <si>
    <t xml:space="preserve">Д-1. Конструкція пожежостійка EIW 30 . Профіль: Alumil  
Колір: фарбування по Ral . Заповнення: 
скло вогнетривке Pyrobel 16 AGC
 (EIW 30), Фурнітура:  Fapim, доводчик  Geze TS 2000  
</t>
  </si>
  <si>
    <t>Монтаж протипожежних алюмінієвих дверей 700*2100мм.</t>
  </si>
  <si>
    <t xml:space="preserve">Д-12. Конструкція пожежостійка EIW 30 . Профіль: Alumil  
Колір: фарбування по Ral . Заповнення: 
скло вогнетривке Pyrobel 16 AGC
 (EIW 30), Фурнітура:  Fapim, доводчик  Geze TS 2000  </t>
  </si>
  <si>
    <t>Підйом скла на поверх</t>
  </si>
  <si>
    <t>Монтаж тканевих ролет</t>
  </si>
  <si>
    <t>Тканеві ролети А-40</t>
  </si>
  <si>
    <t xml:space="preserve">Монтаж акустичної перегородки </t>
  </si>
  <si>
    <t>Д-11. Акустична перегородка OPTIMAL 110</t>
  </si>
  <si>
    <t>Облицювання стін плитами Heradesing т=25мм на профілі UD27 (плити прямокутник 300х1200мм)</t>
  </si>
  <si>
    <t>Плита Heradesing creative 300х1200мм сірого кольору RAL7047</t>
  </si>
  <si>
    <t>Плита Heradesing creative 300х1200мм оранжевого кольору  NCS S 2040-Y60R</t>
  </si>
  <si>
    <t>Дюбель  з ударним шурупом 6х40</t>
  </si>
  <si>
    <t xml:space="preserve">Дюбель для кріплення підвісної стелі 6х35 </t>
  </si>
  <si>
    <t>Облицювання стін плитами Heradesing т=25мм   на профілі UD27 (плити трикутник  300х300мм)</t>
  </si>
  <si>
    <t>Плита Heradesing creative  АК-01 ,сірий,RAL7047,трикутник 300х300мм</t>
  </si>
  <si>
    <t>Облицювання стін плитами Heradesing т=25мм  на профілі UD27 (плити трикутник 600х600мм )</t>
  </si>
  <si>
    <t>Плита Heradesing creative  АК-01 ,сірий,RAL7047,трикутник 600х600мм</t>
  </si>
  <si>
    <t>Облицювання стін панелями ДСП на клею</t>
  </si>
  <si>
    <t>Панелі декоративні ДСП білого кольору</t>
  </si>
  <si>
    <t>Клей Lacrysil Сумасшедшая липучка</t>
  </si>
  <si>
    <t>Монтаж  панелей orac décor W108  RAL9003</t>
  </si>
  <si>
    <t>Панелі orac décor W108  RAL9003 250х2000мм</t>
  </si>
  <si>
    <t xml:space="preserve">Клей для швів Decofix Extra Fx 200, 310мл </t>
  </si>
  <si>
    <t>Клей для монтажу Decofix Pro FDP 600, 2700мл</t>
  </si>
  <si>
    <t>відро</t>
  </si>
  <si>
    <t>Ацетон 0,5л</t>
  </si>
  <si>
    <t>Фарбування декоративних панелей orac décor W108  RAL9003</t>
  </si>
  <si>
    <t>Фарба Tikkurila Джокер А 0.9 л чорна</t>
  </si>
  <si>
    <t xml:space="preserve">Монтаж декоративних деталей на стінах </t>
  </si>
  <si>
    <t>Круг діам.600мм ,лита Heradesing creative   т=25мм , колір білий</t>
  </si>
  <si>
    <t>Наклеювання фотошпалер</t>
  </si>
  <si>
    <t>Фотошпалери</t>
  </si>
  <si>
    <t>Готовий клей ДЛЯ СКЛОШПАЛЕР BOSTIK WETROOM 15л</t>
  </si>
  <si>
    <t>Установка дверей прихованого монтажу</t>
  </si>
  <si>
    <t>Одностворчаті глухі двері прихованого монтажу,полотно 700мм ,Porta HIDE мод.1.1, RAL 9003, магнітний замок, ручка дверна ELEGANT +rozeta patent чорна. Ліві</t>
  </si>
  <si>
    <t>Одностворчаті глухі двері прихованого монтажу,полотно 700мм ,Porta HIDE мод.1.1, RAL 9003, магнітний замок, ручка дверна ELEGANT +rozeta patent чорна. Праві</t>
  </si>
  <si>
    <t>Одностворчаті глухі двері прихованого монтажу , полотно 600мм ,Porta HIDE мод.1.1, інсайт, RAL 9003, магнітний замок, ручка дверна ELEGANT +rozeta patent чорна, праві</t>
  </si>
  <si>
    <t>Одностворчаті глухі двері прихованого монтажу полотно 600мм ,Porta HIDE мод.1.1, інсайт, RAL 9003, магнітний замок, ручка дверна ELEGANT +rozeta patent чорна, ліві</t>
  </si>
  <si>
    <t>Одностворчаті глухі двері прихованого монтажу , полотно 800мм ,Porta HIDE мод.1.1, RAL 9003, магнітний замок, ручка дверна ELEGANT +rozeta patent чорна, ліві</t>
  </si>
  <si>
    <t>Одностворчаті глухі двері прихованого монтажу , полотно 800мм ,Porta HIDE мод.1.1, RAL 9003, магнітний замок, ручка дверна ELEGANT +rozeta patent чорна, праві</t>
  </si>
  <si>
    <t>Одностворчаті глухі двері прихованого монтажу , полотно 800мм ,Porta HIDE мод.1.1 , інсайт  RAL 9003, магнітний замок, ручка дверна ELEGANT +rozeta patent чорна, ліві</t>
  </si>
  <si>
    <t>Одностворчаті глухі двері прихованого монтажу , полотно 800мм ,Porta HIDE мод.1.1, , інсайт, RAL 9003, магнітний замок, ручка дверна ELEGANT +rozeta patent чорна, праві</t>
  </si>
  <si>
    <t>Одностворчаті глухі протипожежні двері прихованого монтажу , полотно 800мм ,Porta ,ЕІ30</t>
  </si>
  <si>
    <t>Двері на ПГ (вхідна зона). Одинарні глухі двері, алюмінієва коробка прихованого монтажу,облицювання вологостійким МДФ 6мм,
фарбування 6034/7030 RAL
Скляні вікна
Полотно 750х1200мм. З монтажем.</t>
  </si>
  <si>
    <t>Монтаж ревізійних лючків, опорядження місць проходження інженерних комунікацій (комплект)</t>
  </si>
  <si>
    <t>Матеріал</t>
  </si>
  <si>
    <t>Влаштування натяжної стелі</t>
  </si>
  <si>
    <t>Стеля натяжна напівпрозора з підсвіткою, колір матовий білий</t>
  </si>
  <si>
    <t>Улаштування однорівневої стелі з влогостійких  гіпсокартонних листів на металевому каркасі в санвузлах</t>
  </si>
  <si>
    <t xml:space="preserve">Улаштування однорівневої стелі з гіпсокартонних листів на металевому каркасі </t>
  </si>
  <si>
    <t xml:space="preserve">Улаштування стелі з гіпсокартонних листів на металевому каркасі в  нішах </t>
  </si>
  <si>
    <t xml:space="preserve">Шпаклювання   стелі з гіпсокартону  по склополотну  під фарбування </t>
  </si>
  <si>
    <t>Склополотно</t>
  </si>
  <si>
    <t xml:space="preserve">Шпаклювання основної  стелі   під фарбування </t>
  </si>
  <si>
    <t xml:space="preserve">Грунтування  стелі під фарбування </t>
  </si>
  <si>
    <t>Фарбування  стелі водно-дисперсійною фарбою за 2 рази</t>
  </si>
  <si>
    <t>Влаштування стелі AMF Heradesing Baffe plain superfine  в конференцзалі</t>
  </si>
  <si>
    <t>Панель Heradesing Baffe plain superfine  NCS 1020-R0908  1200х300мм з тросовим підвісом  довж. 500мм</t>
  </si>
  <si>
    <t>Панель Heradesing Baffe plain superfine  NCS 1020-R0908  600х300мм з тросовим підвісом  довж. 500мм</t>
  </si>
  <si>
    <t>Влаштування підвісної стелі  Heradesing  в коридорі</t>
  </si>
  <si>
    <t>Панель Heradesing superfine SK-06  колір NCS S 1020-R90B (блакитний)</t>
  </si>
  <si>
    <t>Головний профіль AMF Ventatec T24 3600 мм білий</t>
  </si>
  <si>
    <t>Поперечний профіль AMF Ventatec T24 600 ммбілий</t>
  </si>
  <si>
    <t>Ступінчатий  кутик AMF Ventatec 3000/19/24 білий</t>
  </si>
  <si>
    <t>Регульований підвісClickfix BS 110 мм</t>
  </si>
  <si>
    <t>Стержень-петля DoS 1000мм</t>
  </si>
  <si>
    <t>Прижимна пружина  RF (250 шт)</t>
  </si>
  <si>
    <t>Дюбель для кріплення підвісної стелі 6х35 (100шт)</t>
  </si>
  <si>
    <t>Дюбель  з ударним шурупом 6х40(100 шт)</t>
  </si>
  <si>
    <t>Влаштування підвісної стелі  Heradesing  в кабінеті №3</t>
  </si>
  <si>
    <t>Панель Heradesing superfine SK-06  RAL9010</t>
  </si>
  <si>
    <t xml:space="preserve">Фарбування  панелей  водно-дисперсійною фарбою за 2 рази
 </t>
  </si>
  <si>
    <t>Влаштування стелі  Heradesing  в кабінетах №8,9,10,11 (прямий монтаж на саморізи)</t>
  </si>
  <si>
    <t>Плита Heradesing  superfine АК-01 ,RAL1015</t>
  </si>
  <si>
    <t xml:space="preserve">Фарбування  стелі водно-дисперсійною фарбою за 2 рази
 </t>
  </si>
  <si>
    <t xml:space="preserve">Виготовлення та монтаж підвісних елементів стелі з плити Heradesing </t>
  </si>
  <si>
    <t>Дюбель  биербаха  6х40</t>
  </si>
  <si>
    <t>Підвіс пружинний і стержні 500мм</t>
  </si>
  <si>
    <t xml:space="preserve">Монтаж підвісних елементів стелі з плити Heradesing </t>
  </si>
  <si>
    <t>AMF TOPIQ Sonic element білий діам. 1200мм</t>
  </si>
  <si>
    <t>Кріплення (тросові підвіси)</t>
  </si>
  <si>
    <t>Влаштування гідроізоляції підлоги обмазувальної (з заходом на стіни 30см.)</t>
  </si>
  <si>
    <t>Гідроізоляція Флехендіхт КНАУФ</t>
  </si>
  <si>
    <t>5кг</t>
  </si>
  <si>
    <t>Сітка скловолокниста</t>
  </si>
  <si>
    <t>Монтаж гідроізоляційної стрічки</t>
  </si>
  <si>
    <t>Стрічка Флехендіхтбанд КНАУФ</t>
  </si>
  <si>
    <t>10м</t>
  </si>
  <si>
    <t>Грунтування стяжки під плитку</t>
  </si>
  <si>
    <t xml:space="preserve">Влаштування підлоги з керамогранітних плиток </t>
  </si>
  <si>
    <t>Плитка для підлоги керамогранітна 600х600 Тераццо сірого кольору</t>
  </si>
  <si>
    <t xml:space="preserve">Затирка СЕ-40,  2 кг </t>
  </si>
  <si>
    <t>Влаштування покриття з керамогранітних плиток на сходовій клітині (східці та площадки)</t>
  </si>
  <si>
    <t>Плитка для підлоги керамогранітна 600х600 Тераццо світло-сірого кольору</t>
  </si>
  <si>
    <t xml:space="preserve">Грунтування підлоги під  самовирівнюючу стяжку </t>
  </si>
  <si>
    <t xml:space="preserve">Влаштування самовирівнюючої стяжки товщ 18мм, </t>
  </si>
  <si>
    <t>Самовирівнююча стяжка Ceresit CN-69</t>
  </si>
  <si>
    <t>Грунтування стяжки  під  ПВХ та ковролінове  покриття</t>
  </si>
  <si>
    <t xml:space="preserve">Грунт Forbo 050  </t>
  </si>
  <si>
    <t>Влаштування антистатичного покриття colorex
sd SD 150205 adula</t>
  </si>
  <si>
    <t>ПВХ антистатичний colorex
sd SD 150205 adula</t>
  </si>
  <si>
    <t>Клей Forbo  522</t>
  </si>
  <si>
    <t xml:space="preserve">Влаштування  модульного ковролінового покриття  </t>
  </si>
  <si>
    <t>Ковролін модульний Forbo Flotex penang grey
t382037</t>
  </si>
  <si>
    <t xml:space="preserve">Влаштування підлоги з модульного ПВХ </t>
  </si>
  <si>
    <t>Покриття модульним ПВХ Forbo Allura 60374FL1
natural collage oak</t>
  </si>
  <si>
    <t>Покриття модульним ПВХ Forbo Allura 62418FL1
charcoal concrete</t>
  </si>
  <si>
    <t xml:space="preserve">Улаштування плiнтусiв МДФ 
</t>
  </si>
  <si>
    <t>МДФ плінтус білого кольору DOLLKEN  2500х100х12,6</t>
  </si>
  <si>
    <t>Клей для плинтуса HKS 18/300</t>
  </si>
  <si>
    <t>Улаштування плiнтусiв алюмінієвих</t>
  </si>
  <si>
    <t xml:space="preserve">Алюмінієвиий анодований кутик 60х30х2 фарбований порошковою  матовою фарбою в RAL9003 </t>
  </si>
  <si>
    <t>Кріплення</t>
  </si>
  <si>
    <t>комплектуючі</t>
  </si>
  <si>
    <t>Улаштування плiнтусiв з керамічної плитки</t>
  </si>
  <si>
    <t>.---------водопроід та каналізація</t>
  </si>
  <si>
    <t>Монтаж кранів сантехнічних</t>
  </si>
  <si>
    <t>Труба RAUTITAN flex 20х2,8 мм, бухта 100 м</t>
  </si>
  <si>
    <t>Монтаж інсталяції для унітазу</t>
  </si>
  <si>
    <t>Труба RAUTITAN flex 25х3,5 мм, бухта 50 м</t>
  </si>
  <si>
    <t>Монтаж унітазу підвісного</t>
  </si>
  <si>
    <t>Труба RAUTITAN flex 32х4,4 мм, бухта 50 м</t>
  </si>
  <si>
    <t xml:space="preserve">Монтаж умивальників </t>
  </si>
  <si>
    <t>Трубка K-FLEX 06x022-2 PE COMPACT BLUE</t>
  </si>
  <si>
    <t>Монтаж змішувачів</t>
  </si>
  <si>
    <t>Трубка K-FLEX 06x022-2 PE COMPACT RED</t>
  </si>
  <si>
    <t>Монтаж та підключення бойлера</t>
  </si>
  <si>
    <t>Трубка K-FLEX 06x028-2 PE COMPACT BLUE</t>
  </si>
  <si>
    <t>Монтаж Лічильник Sensus120 зелектричниммодулемпередачімпульсів HRI- B4 Qn1,5/30, Ø15 шт. 1</t>
  </si>
  <si>
    <t>Трубка K-FLEX 06x028-2 PE COMPACT RED</t>
  </si>
  <si>
    <t>Монтаж регулятор тиску</t>
  </si>
  <si>
    <t>Трубка K-FLEX 06x035-2 PE COMPACT BLUE</t>
  </si>
  <si>
    <t>Монтаж посудомийки (підключення)</t>
  </si>
  <si>
    <t>Трубка K-FLEX 06x035-2 PE COMPACT RED</t>
  </si>
  <si>
    <t>Монтаж труб водопостачання</t>
  </si>
  <si>
    <t>Кутник RAUTITAN RX+ настінний короткий   20 - Rp 1/2</t>
  </si>
  <si>
    <t>Каналізація прокладання траси К1</t>
  </si>
  <si>
    <t>Кран GF хром. з декоративним кільцем  1/2'х1/2</t>
  </si>
  <si>
    <t>Витратні  матеріали</t>
  </si>
  <si>
    <t>Кутник RAUTITAN PX 90°, 20</t>
  </si>
  <si>
    <t>Кутник RAUTITAN PX 90°, 25</t>
  </si>
  <si>
    <t>Кутник RAUTITAN PX 90°, 32</t>
  </si>
  <si>
    <t>Трійник RAUTITAN PX 20-20-20</t>
  </si>
  <si>
    <t>Трійник RAUTITAN PX 25-20-25</t>
  </si>
  <si>
    <t>Трійник RAUTITAN PX 25-20-20</t>
  </si>
  <si>
    <t>Трійник RAUTITAN PX 25-25-20</t>
  </si>
  <si>
    <t>Трійник RAUTITAN PX 32-20-25</t>
  </si>
  <si>
    <t>Трійник RAUTITAN PX 32-20-32</t>
  </si>
  <si>
    <t>Трійник RAUTITAN PX 25-25-25</t>
  </si>
  <si>
    <t>Перехідник RAUTITAN з зовнішньою різьбою 25-R 1/2 RX+</t>
  </si>
  <si>
    <t>Гільза RAUTITAN PX для запресовки 20</t>
  </si>
  <si>
    <t>Гільза RAUTITAN PX для запресовки 25</t>
  </si>
  <si>
    <t>Гільза RAUTITAN PX для запресовки 32</t>
  </si>
  <si>
    <t>Кронштейн, тип Z 30, 213х40 мм</t>
  </si>
  <si>
    <t>Кронштейн, тип O 75/150, з кріпленням під кутник настінний</t>
  </si>
  <si>
    <t>TR 2000 T 80 B / Електричний бак-накопичувач Tronic 2000 T</t>
  </si>
  <si>
    <t>Труба HTEM  50/1000 мм, Magnaplast</t>
  </si>
  <si>
    <t>Труба HTEM 110/1000 мм, Magnaplast</t>
  </si>
  <si>
    <t>Коліно HTB 50/45, Magnaplast</t>
  </si>
  <si>
    <t>Коліно HTB 50/87, Magnaplast</t>
  </si>
  <si>
    <t>Коліно HTB 110/45, Magnaplast</t>
  </si>
  <si>
    <t>Трійник HTEA 50/50/45, Magnaplast</t>
  </si>
  <si>
    <t>Трійник HTEA 110/110/45, Magnaplast</t>
  </si>
  <si>
    <t>Трійник HTEA 110/50/45, Magnaplast</t>
  </si>
  <si>
    <t>Заглушка HTM 50, Magnaplast</t>
  </si>
  <si>
    <t>Заглушка HTM 110, Magnaplast</t>
  </si>
  <si>
    <t>Редукція коротка HTR 110/50, Magnaplast</t>
  </si>
  <si>
    <t>Сифон PURUS з мембраною проти запахів для відведення конденсату з кондиціонерів, котлів та холодильного обладнання</t>
  </si>
  <si>
    <t xml:space="preserve"> 2S Хомут з гумов. ізоляц. 47-52мм M8/10</t>
  </si>
  <si>
    <t>Хомут з гумов. ізоляц. 104-112мм M8/10</t>
  </si>
  <si>
    <t>WEP Нейлоновий дюбель М10х50 мм</t>
  </si>
  <si>
    <t>BIS Шуруп-гвинт M8 х 100 мм</t>
  </si>
  <si>
    <t>санвузли</t>
  </si>
  <si>
    <t>Инсталяция для унитаза INEO PLUS 450 90.733.00..S004  Кнопка
для WC черная 16.751.82..0000
Кріплення дистанційне 17.257.00.T000</t>
  </si>
  <si>
    <t>Gap унітаз підвісний Rimless  з кришкою soft close A34H0N8000</t>
  </si>
  <si>
    <t>Light смеситель настенный с внутренней частью для раковины, черный мат LIG006NO70</t>
  </si>
  <si>
    <t>Донный клапан, Paffoni SIMPLE RAPID черный матовый ZSCA050NO</t>
  </si>
  <si>
    <t>Сифон (мебельный) Geberit, для умывальника, компактная модель, горизонтальный выпуск: d=40мм, G=1 1/2 x 1 1/4", Альпийский белый</t>
  </si>
  <si>
    <t>Alter умывальник накладной, диам.39 cм A3270MJ000</t>
  </si>
  <si>
    <t>Тримач паперу туалетного JUMBO INDUSTRIAL  PR2787B</t>
  </si>
  <si>
    <t>Logic йоржик настінний, чорний 2263697</t>
  </si>
  <si>
    <t>Крючок для одежды и сумок TORK, Image Design, нержавеющая сталь/пластик 460014</t>
  </si>
  <si>
    <t>Урна з педаллю 14л  M 714B</t>
  </si>
  <si>
    <t>Дозатор рідкого мила 1,5 л DJ0031B</t>
  </si>
  <si>
    <t>Тримач паперових рушників у пачках WALL MOUNTED DT2106B</t>
  </si>
  <si>
    <t>Урна для сміття 25л OPEN</t>
  </si>
  <si>
    <t>Сушарка для рук DUALFLOW PLUS M14AB</t>
  </si>
  <si>
    <t>Електроний тримач освіжувача у балончику 250мл A 1010</t>
  </si>
  <si>
    <t xml:space="preserve">               санвузол для людей з обмеженими можливостями .</t>
  </si>
  <si>
    <t>Duofix монтажний комплект для підвісного унітазу, Н112, 12см(UP100) без клавіши 458.126.00.1 Смывная клавиша Geberit Delta11, смыв/стоп: Глянцевый хром 115.120.21.1</t>
  </si>
  <si>
    <t>Унитаз подвесной KOLO NOVA PRO Rimfree для людей с ограниченными физическими возможностями (M33520000)</t>
  </si>
  <si>
    <t>Сиденье с крышкой Kolo Nova Pro (M30119000)</t>
  </si>
  <si>
    <t>Умывальник Kolo NOVA PRO 55 см для людей с ограниченными физическими возможностями M38155000</t>
  </si>
  <si>
    <t>Сифон внутристенный для умывальника d 50-56 хром 151.120.21.1</t>
  </si>
  <si>
    <t>Смеситель для умывальника Grohe Eurosmart Сosmopolitan E, сенсорный, хром 36330001</t>
  </si>
  <si>
    <t>Верхня частина сифона, хромована кришка - що не замикається 30.006.00.0000</t>
  </si>
  <si>
    <t>Поручень Kolo Lehnen Concept (L60402000) возле унитаза слева</t>
  </si>
  <si>
    <t>LEHNEN FUNKTION
держатель для туалетной бумаги, полированная поверхность L1103100</t>
  </si>
  <si>
    <t>Поручень Kolo Lehnen Concept Pro 60 (L60006000) возле унитаза справа</t>
  </si>
  <si>
    <t>Поручень прямой KOLO Lehnen Concept 450 для людей с ограниченными физическими возможностями (L60004000) возле умывальника справа</t>
  </si>
  <si>
    <t>Logic йоржик настінний 2260297</t>
  </si>
  <si>
    <t>Гачок одинарний металевий A0708</t>
  </si>
  <si>
    <t>Тримач паперових рушників у пачках WALL MOUNTED DT2106C</t>
  </si>
  <si>
    <t>Дозатор рідкого мила сенсорний 1л DJ0037AC</t>
  </si>
  <si>
    <t>Сушарка для рук OPTIMA M99AC</t>
  </si>
  <si>
    <t>Дзеркало з окантовкою з нержавіючої сталі поворотне 700х500 мм EP0300CS</t>
  </si>
  <si>
    <t>Урна для сміття 25л OPEN PPA2279C</t>
  </si>
  <si>
    <t>.---------вентиляція, кондеціювання, опалення</t>
  </si>
  <si>
    <t xml:space="preserve">.---------Вентиляція    </t>
  </si>
  <si>
    <t>Вартість монтажних робіт по ПВ1</t>
  </si>
  <si>
    <t>ПВ1</t>
  </si>
  <si>
    <t>Монтаж припливно-витяжної установки</t>
  </si>
  <si>
    <t>шт.</t>
  </si>
  <si>
    <t>Припливно-витяжна установка Rosenberg AHU-F4010FIW</t>
  </si>
  <si>
    <t xml:space="preserve">Монтаж автоматики ПВУ  </t>
  </si>
  <si>
    <t>Компл.</t>
  </si>
  <si>
    <t>Автоматика ПВУ  Rosenberg</t>
  </si>
  <si>
    <t>Монтаж повітропроводів прямокутного та круглого  перерізу із оцинкованої сталі</t>
  </si>
  <si>
    <t>Повітропровід прямокутного перерізу із оцинкованої сталі S=0.55 мм</t>
  </si>
  <si>
    <t>Повітропровід прямокутного перерізу із оцинкованої сталі S=0.7 мм</t>
  </si>
  <si>
    <t>Повітропровід круглого перерізу із оцинкованої сталі S=0.55 мм</t>
  </si>
  <si>
    <t>Повітропровід круглого перерізу із оцинкованої сталі S=0.7 мм</t>
  </si>
  <si>
    <t>Монтаж фасонних частин прямокутного та круглого  перерізу із оцинкованої сталі</t>
  </si>
  <si>
    <t>Фасонні частини прямокутного перерізу із оцинкованої сталі S=0.55 мм</t>
  </si>
  <si>
    <t>Фасонні частини прямокутного перерізу із оцинкованої сталі S=0.7 мм</t>
  </si>
  <si>
    <t>Фасонні частини круглого перерізу із оцинкованої сталі S=0.55 мм</t>
  </si>
  <si>
    <t>Фасонні частини круглого перерізу із оцинкованої сталі S=0.7 мм</t>
  </si>
  <si>
    <t>Монтаж гнучкого повітропроводу утепленного ф15</t>
  </si>
  <si>
    <t>Гнучкий повітропровід утеплений  ф15</t>
  </si>
  <si>
    <t>Монтаж дросельного клапану</t>
  </si>
  <si>
    <t>Дросель клапан круглий  ДкДу Ø100 ГСН</t>
  </si>
  <si>
    <t xml:space="preserve">Монтаж шумопоглиначів </t>
  </si>
  <si>
    <t>Шумопоглинач  ф25</t>
  </si>
  <si>
    <t>Шумопоглинач  500х200</t>
  </si>
  <si>
    <t>Монтаж зворотнього клапану</t>
  </si>
  <si>
    <t>Зворотній клапан 500х200</t>
  </si>
  <si>
    <t>Монтаж дифузорів круглих</t>
  </si>
  <si>
    <t>Дифузор круглий GLOSS 30%; RAL 7047 TDFC 300 R Tecnoelettra</t>
  </si>
  <si>
    <t>22</t>
  </si>
  <si>
    <t>Дифузор круглий GLOSS 30%; RAL 2408015   TDFC 300 R  Tecnoelettra</t>
  </si>
  <si>
    <t>2</t>
  </si>
  <si>
    <t>Дифузор круглий GLOSS 30%; RAL 2408015  TDFC 400 R Tecnoelettra</t>
  </si>
  <si>
    <t xml:space="preserve">Монтаж припливної решітки </t>
  </si>
  <si>
    <t>1</t>
  </si>
  <si>
    <t>Припливна решітка (GLOSS та RAL узгодити перед монтажем) РВ 3070-1Н 1000х600H ГСН</t>
  </si>
  <si>
    <t>Монтаж пленум-боксів</t>
  </si>
  <si>
    <t>Пленум-бокс, перфорована панель, регулятор P300R Tecnoelettra</t>
  </si>
  <si>
    <t>10</t>
  </si>
  <si>
    <t>Пленум-бокс, перфорована панель, регулятор P300R - Ø100  Tecnoelettra</t>
  </si>
  <si>
    <t>Пленум-бокс, перфорована панель, регулятор P300R - Ø150  Tecnoelettra</t>
  </si>
  <si>
    <t>Пленум-бокс, перфорована панель, регулятор P400R -   Tecnoelettra</t>
  </si>
  <si>
    <t>Монтаж мату фольгованого, 50 мм</t>
  </si>
  <si>
    <t xml:space="preserve">Мат фольгований ламельный, базальтова вата  50мм </t>
  </si>
  <si>
    <t>Монтаж теплоізоляції самоклеючої фольгованої</t>
  </si>
  <si>
    <t>Теплоізоляція самоклеюча фольгована 10мм K-FLEX</t>
  </si>
  <si>
    <t>Монтаж комплектуючих елементів</t>
  </si>
  <si>
    <t>Шпилька  М8   1м</t>
  </si>
  <si>
    <t>Анкер М8</t>
  </si>
  <si>
    <t>Хомут з гайкою ф100</t>
  </si>
  <si>
    <t>Хомут з гайкою ф125</t>
  </si>
  <si>
    <t>Хомут з гайкою ф150</t>
  </si>
  <si>
    <t>Хомут з гайкою ф200</t>
  </si>
  <si>
    <t>Хомут з гайкою ф250</t>
  </si>
  <si>
    <t>Рама для ПВУ WALRAVEN</t>
  </si>
  <si>
    <t>Вартість монтажних робіт по ПВ2</t>
  </si>
  <si>
    <t>ПВ2</t>
  </si>
  <si>
    <t>Припливно-витяжна установка на Rosenberg AHU-F4007QIW</t>
  </si>
  <si>
    <t xml:space="preserve">Монтаж автоматики ПВУ </t>
  </si>
  <si>
    <t xml:space="preserve">Автоматика ПВУ Rosenberg </t>
  </si>
  <si>
    <t>70</t>
  </si>
  <si>
    <t>Монтаж дросель клапанів</t>
  </si>
  <si>
    <t>монтаж клапанів вогнезатримуючих прямокутного перерізу</t>
  </si>
  <si>
    <t>Клапан вогнезатримуючий прямокутного перерізу з ел. Приводом 500х300</t>
  </si>
  <si>
    <t>Монтаж шумопоглинача</t>
  </si>
  <si>
    <t>Шумопоглинач  500х300</t>
  </si>
  <si>
    <t>Зворотній клапан 500х300</t>
  </si>
  <si>
    <t>Монтаж дифузорів круглих та лінійних перерізів</t>
  </si>
  <si>
    <t>Дифузор круглий GLOSS 30%; RAL 2408015 TDFC300 R  Tecnoelettra</t>
  </si>
  <si>
    <t xml:space="preserve">Дифузор круглий GLOSS 30%; RAL 7047  TDFC 400 R  Tecnoelettra </t>
  </si>
  <si>
    <t xml:space="preserve">Дифузор круглий GLOSS 30%; RAL 9003  TDFC 400 R  Tecnoelettra </t>
  </si>
  <si>
    <t>Дифузор лінійний GLOSS 30%; RAL 2408015 BF5F2000 Tecnoelettra</t>
  </si>
  <si>
    <t>Дифузор лінійний GLOSS30%; RAL7047 ГСН LD2x500</t>
  </si>
  <si>
    <t>Пленум-бокс, перфорована панель, регулятор Р300 R  ф100 Tecnoelettra</t>
  </si>
  <si>
    <t xml:space="preserve">Пленум-бокс, перфорована панель, регулятор Р400 R ф250 Tecnoelettra </t>
  </si>
  <si>
    <t xml:space="preserve">Пленум-бокс, перфорована панель, регулятор  Р400 R  Tecnoelettra </t>
  </si>
  <si>
    <t>Монтаж адаптерів</t>
  </si>
  <si>
    <t>Адаптер лінійний 200х200х2000х4врізки Ø150</t>
  </si>
  <si>
    <t>Адаптер лінійний В150хШ125хД500х 1 врізка Ø100</t>
  </si>
  <si>
    <t>Монтаж мату фольгованого</t>
  </si>
  <si>
    <t>Мат фольгований ламельный, базальтова вата 50мм Технониколь</t>
  </si>
  <si>
    <t>Хомут з гайкою  ф100</t>
  </si>
  <si>
    <t>Хомут з гайкою ф315</t>
  </si>
  <si>
    <t>Вартість монтажних робіт по В1</t>
  </si>
  <si>
    <t>В1</t>
  </si>
  <si>
    <t>Монтаж канального вентилятору</t>
  </si>
  <si>
    <t>Канальний вентилятор SILENT TD 250/100 S&amp;P</t>
  </si>
  <si>
    <t xml:space="preserve">Монтаж повітропроводу круглого перерізу із оцинкованої сталі </t>
  </si>
  <si>
    <t xml:space="preserve">Монтаж фасонних частин круглого перерізу із оцинкованої сталі </t>
  </si>
  <si>
    <t xml:space="preserve">Монтаж дросель клапану   </t>
  </si>
  <si>
    <t>Монтаж звортнього клапану</t>
  </si>
  <si>
    <t>Звортній клапан Ø150 ГСН</t>
  </si>
  <si>
    <t>Монтаж дифузору лінійного</t>
  </si>
  <si>
    <t>Дифузор лінійний GLOSS30%; RAL9003 LD2x500 ГСН</t>
  </si>
  <si>
    <t>Монтаж адаптеру лінійного</t>
  </si>
  <si>
    <t>Кондиціонування</t>
  </si>
  <si>
    <t>Вартість монтажних робіт по К1</t>
  </si>
  <si>
    <t>К1</t>
  </si>
  <si>
    <t>Монтаж зовнішнього блоку LG</t>
  </si>
  <si>
    <t xml:space="preserve">Зовнішній блок ARUM200LTE5 LG </t>
  </si>
  <si>
    <t>Монтаж кондиціонерів канального типу LG</t>
  </si>
  <si>
    <t>13</t>
  </si>
  <si>
    <t xml:space="preserve">Кондиціонер канального типу ARNU07GM1A4  LG </t>
  </si>
  <si>
    <t>Кондиціонер канального типу ARNU09GM1A4  LG</t>
  </si>
  <si>
    <t xml:space="preserve">Кондиціонер канального типу ARNU12GM1A4 LG </t>
  </si>
  <si>
    <t xml:space="preserve">Кондиціонер канального типу ARNU24GM1A4 LG </t>
  </si>
  <si>
    <t xml:space="preserve">Монтаж блоку рекуператора LG </t>
  </si>
  <si>
    <t xml:space="preserve">Блок рекуператор PRHR083 LG </t>
  </si>
  <si>
    <t>Монтаж комплектуючих та автоматики керування</t>
  </si>
  <si>
    <t>19</t>
  </si>
  <si>
    <t xml:space="preserve">Електронний розширювальний вентиль PRLK048A0 LG </t>
  </si>
  <si>
    <t xml:space="preserve">Плата керування PAHCMR000 LG </t>
  </si>
  <si>
    <t xml:space="preserve">Пульт керування дротовий PREMTB001 LG </t>
  </si>
  <si>
    <t>Пульт керування дротовий REMTB100 LG</t>
  </si>
  <si>
    <t>Монтаж повітропроводів прямокутного та круглого перерізу із оцинкованої сталі</t>
  </si>
  <si>
    <t>49</t>
  </si>
  <si>
    <t>Монтаж фасонних частин круглого та прямокутного перерізу з оцинкованої сталі</t>
  </si>
  <si>
    <t>17</t>
  </si>
  <si>
    <t xml:space="preserve">Монтаж дросель клапанів </t>
  </si>
  <si>
    <t>Дросель клапан круглий  ДкДу Ø150 ГСН</t>
  </si>
  <si>
    <t>Монтаж дифузорів лінійних та круглих</t>
  </si>
  <si>
    <t>24</t>
  </si>
  <si>
    <t xml:space="preserve">Дифузор лінійний GLOSS30%; RAL2408015 BF4F2500 Tecnoelettra  </t>
  </si>
  <si>
    <t xml:space="preserve">Дифузор лінійний GLOSS30%; RAL2408015 BF5F2000 Tecnoelettra </t>
  </si>
  <si>
    <t xml:space="preserve">Дифузор круглий GLOSS30%; RAL2408015 TDFC 400 R Tecnoelettra </t>
  </si>
  <si>
    <t xml:space="preserve">Дифузор круглий GLOSS30%; RAL 7047  TDFC 500 R Tecnoelettra </t>
  </si>
  <si>
    <t xml:space="preserve">Дифузор круглий GLOSS30%; RAL 2408015 TDFC 500 R Tecnoelettra </t>
  </si>
  <si>
    <t xml:space="preserve">Дифузор круглий GLOSS30%; RAL 9003  TDFC 500 R Tecnoelettra </t>
  </si>
  <si>
    <t>4</t>
  </si>
  <si>
    <t>Адаптер 2500х200х200х 3 врізки Ø150 + 2 врізки Ø100</t>
  </si>
  <si>
    <t xml:space="preserve">Адаптер 2000х200х200х 4 врізки Ø150 </t>
  </si>
  <si>
    <t>20</t>
  </si>
  <si>
    <t>Пленум-бокс, перфорована панель, регулятор P400R-Ø200  Tecnoelettra</t>
  </si>
  <si>
    <t>Пленум-бокс, перфорована панель, регулятор P500R  Tecnoelettra</t>
  </si>
  <si>
    <t xml:space="preserve">Пленум-бокс, перфорована панель, регулятор P500R – Ø250 Tecnoelettra </t>
  </si>
  <si>
    <t>Монтаж адаптерів для фанкойла</t>
  </si>
  <si>
    <t>Адаптер для фанкойла Ш800хД100хВ200х 2 врізки Ø200</t>
  </si>
  <si>
    <t>Адаптер для фанкойла Ш800хД100хВ200х 4 врізки Ø150</t>
  </si>
  <si>
    <t>Монтаж Ттплоізоляції самоклеючої</t>
  </si>
  <si>
    <t>Монтаж трубопроводів мідних</t>
  </si>
  <si>
    <t>371</t>
  </si>
  <si>
    <t>Трубопровід мідний ф6,35</t>
  </si>
  <si>
    <t>Трубопровід мідний ф9,53</t>
  </si>
  <si>
    <t>Трубопровід мідний ф12,7</t>
  </si>
  <si>
    <t>Трубопровід мідний ф15,88</t>
  </si>
  <si>
    <t>Трубопровід мідний ф19,05</t>
  </si>
  <si>
    <t>Трубопровід мідний ф22,23</t>
  </si>
  <si>
    <t>Трубопровід мідний ф28,58</t>
  </si>
  <si>
    <t>Монтаж колін мідних</t>
  </si>
  <si>
    <t>46</t>
  </si>
  <si>
    <t>Коліно мідне 90гр. Ф19,05</t>
  </si>
  <si>
    <t>Коліно мідне 90гр. Ф22,23</t>
  </si>
  <si>
    <t>Коліно мідне 90гр. Ф28,58</t>
  </si>
  <si>
    <t>Монтаж рефнет LG</t>
  </si>
  <si>
    <t>Рефнет ARBLB07121 LG</t>
  </si>
  <si>
    <t>Монтаж ізоляції із вспіненного каучука K-FLEX</t>
  </si>
  <si>
    <t>Ізоляція із вспіненного каучука ST 9x06 K-FLEX</t>
  </si>
  <si>
    <t xml:space="preserve">Ізоляція із вспіненного каучука ST 9x10 K-FLEX </t>
  </si>
  <si>
    <t xml:space="preserve">Ізоляція із вспіненного каучука ST 9x12 K-FLEX </t>
  </si>
  <si>
    <t xml:space="preserve">Ізоляція із вспіненного каучука ST 9x15 K-FLEX </t>
  </si>
  <si>
    <t xml:space="preserve">Ізоляція із вспіненного каучука ST 13x19 K-FLEX </t>
  </si>
  <si>
    <t xml:space="preserve">Ізоляція із вспіненного каучука ST 13x22 K-FLEX </t>
  </si>
  <si>
    <t>Ізоляція із вспіненного каучука ST 13x28 K-FLEX</t>
  </si>
  <si>
    <t>Фреон R410a</t>
  </si>
  <si>
    <t>13.8</t>
  </si>
  <si>
    <t>Монтаж рами для зовнішнього блоку WALRAVEN</t>
  </si>
  <si>
    <t>Рама для зовнішнього блоку WALRAVEN</t>
  </si>
  <si>
    <t>Вартість монтажних робіт по К2/1</t>
  </si>
  <si>
    <t>К2/1</t>
  </si>
  <si>
    <t>Монтаж кондиціонеру настінного типу + зовнішній блок  Mitsubishi</t>
  </si>
  <si>
    <t>Кондиціонер настінного типу + зовнішній блок MS-GF50VA/MU-GF50VA Mitsubishi</t>
  </si>
  <si>
    <t>Монтаж низкьотемпературного комплекту</t>
  </si>
  <si>
    <t>Низкьотемпературний комплект:</t>
  </si>
  <si>
    <t>-     Нагрівач картера компресора;</t>
  </si>
  <si>
    <t>-     Нагрівач капілярної трубки;</t>
  </si>
  <si>
    <t>-     Нагрівач дренажного шлангу;</t>
  </si>
  <si>
    <t xml:space="preserve"> Регулятор тиску конденсації РДК 8,4</t>
  </si>
  <si>
    <t>Трубопровід мідний 6,35</t>
  </si>
  <si>
    <t>Трубопровід мідний 12,7</t>
  </si>
  <si>
    <t>Монтаж ізоляції із вспіненного каучука  K-FLEX</t>
  </si>
  <si>
    <t>Вартість монтажних робіт по К2/2</t>
  </si>
  <si>
    <t>К2/2</t>
  </si>
  <si>
    <t>74</t>
  </si>
  <si>
    <t>37</t>
  </si>
  <si>
    <t>Вартість монтажних робіт</t>
  </si>
  <si>
    <t>Інше</t>
  </si>
  <si>
    <t xml:space="preserve">Монтаж дренажних трубопроводів </t>
  </si>
  <si>
    <t xml:space="preserve">Дренажний трубопровід ПВХ DN20 NIBCO </t>
  </si>
  <si>
    <t>75</t>
  </si>
  <si>
    <t xml:space="preserve">Дренажний трубопровід ПВХ DN25 NIBCO </t>
  </si>
  <si>
    <t>40</t>
  </si>
  <si>
    <t xml:space="preserve">Дренажний трубопровід ПВХ DN32 NIBCO </t>
  </si>
  <si>
    <t>Монтаж трубопровідної арматутри</t>
  </si>
  <si>
    <t xml:space="preserve">Трійник DN20 NIBCO </t>
  </si>
  <si>
    <t xml:space="preserve">Трійник DN25 NIBCO </t>
  </si>
  <si>
    <t xml:space="preserve">Трійник DN32 NIBCO </t>
  </si>
  <si>
    <t xml:space="preserve">Коліно 90 гр. DN20  NIBCO </t>
  </si>
  <si>
    <t xml:space="preserve">Коліно 90 гр. DN25 NIBCO </t>
  </si>
  <si>
    <t xml:space="preserve">Коліно 45 гр. DN20 NIBCO </t>
  </si>
  <si>
    <t xml:space="preserve">Коліно 45 гр. DN25 NIBCO   </t>
  </si>
  <si>
    <t xml:space="preserve">Муфта DN20 NIBCO </t>
  </si>
  <si>
    <t xml:space="preserve">Муфта DN25 NIBCO </t>
  </si>
  <si>
    <t>Муфта DN32 NIBCO NIBCO</t>
  </si>
  <si>
    <t>Муфта редукційна DN20-DN25 NIBCO</t>
  </si>
  <si>
    <t xml:space="preserve">Муфта редукційна DN32-DN20 NIBCO </t>
  </si>
  <si>
    <t>Муфта редукційна DN32-DN25 NIBCO</t>
  </si>
  <si>
    <t xml:space="preserve">Монтаж хомутів з гайкою </t>
  </si>
  <si>
    <t xml:space="preserve">Хомут з гайкою 1/2”( 20-24мм) </t>
  </si>
  <si>
    <t>55</t>
  </si>
  <si>
    <t>Хомут з гайкою 3/4”( 25-30мм)</t>
  </si>
  <si>
    <t>65</t>
  </si>
  <si>
    <t>Хомут з гайкою 1”( 32-37мм)</t>
  </si>
  <si>
    <t>Хомут з гайкою 1 1/4”( 42-46мм)</t>
  </si>
  <si>
    <t>Хомут з гайкою 1 1/2”( 47-53мм)</t>
  </si>
  <si>
    <t>Хомут з гайкою 1 3/4”( 56-60мм)</t>
  </si>
  <si>
    <t>Монтаж дренажного насосу Mini Orange Aspen</t>
  </si>
  <si>
    <t>Дренажний насос Mini Orange Aspen</t>
  </si>
  <si>
    <t>Монтаж теплоізоляції самоклеючої фольгованої K-FLEX</t>
  </si>
  <si>
    <t>Монтажні роботи загальні</t>
  </si>
  <si>
    <t>Електрокабельна продукція</t>
  </si>
  <si>
    <t>Припій мідно-фосфорний SOLDER Felder</t>
  </si>
  <si>
    <t>6</t>
  </si>
  <si>
    <t>Припій Ag 20 з флюсом 20% срібло, 22г</t>
  </si>
  <si>
    <t>Припій (5% срібло, 33г) Solder05-33/29</t>
  </si>
  <si>
    <t>58</t>
  </si>
  <si>
    <t>Флюс-паста для пайки міді Stella AG1-PS100</t>
  </si>
  <si>
    <t>5</t>
  </si>
  <si>
    <t xml:space="preserve">Монтаж рами для зовнішнього блоку </t>
  </si>
  <si>
    <t xml:space="preserve">Рама для зовнішнього блоку </t>
  </si>
  <si>
    <t>Опалення</t>
  </si>
  <si>
    <t xml:space="preserve">Монтаж труби PE-Xc з антидифуз. Захистом Ø14х2,0 KAN-therm </t>
  </si>
  <si>
    <t xml:space="preserve">Труба PE-Xc з антидифуз. Захистом Ø14х2,0 KAN-therm </t>
  </si>
  <si>
    <t xml:space="preserve">Монтаж труби захисної гофрованої (пешель) - синя KAN-therm </t>
  </si>
  <si>
    <t xml:space="preserve">Труба захисна гофрована (пешель) - синя KAN-therm </t>
  </si>
  <si>
    <t xml:space="preserve">Монтаж труби захисної гофрованої (пешель) - червона KAN-therm </t>
  </si>
  <si>
    <t xml:space="preserve">Труба захисна гофрована (пешель) - червона KAN-therm </t>
  </si>
  <si>
    <t>Монтаж арматури</t>
  </si>
  <si>
    <t>150</t>
  </si>
  <si>
    <t>Відвід PPSU Push 90° 14×2 / 14×2  KAN-therm</t>
  </si>
  <si>
    <t>З'єднувач двосторонній PPSU Push 14×2 / 14×2 KAN-therm</t>
  </si>
  <si>
    <t xml:space="preserve">З'єднувач двосторонній PPSU Push 18×2,5 / 14×2 KAN-therm </t>
  </si>
  <si>
    <t xml:space="preserve">Трійник PPSU Push Ø18х14х14 KAN-therm </t>
  </si>
  <si>
    <t>Заглушка латунна Ø14х2,0 KAN-therm</t>
  </si>
  <si>
    <t>Відвід латунний Push, з трубкою Cu Ø15 з кронштейном 14×2,0 Lmin = 210 мм KAN-therm</t>
  </si>
  <si>
    <t xml:space="preserve">Кільце PVDF полімерне натяжное Push Ø14х2 KAN-therm </t>
  </si>
  <si>
    <t>Кільце PVDF полімерне натяжное Push Ø18х2,5 KAN-therm</t>
  </si>
  <si>
    <t>Термостатична головка Design "H" М30х1,5 KAN-therm</t>
  </si>
  <si>
    <t>Монтаж радіатору вертикальний Quantum 1 (RAL 9005)</t>
  </si>
  <si>
    <t>Радіатор вертикальний Quantum 1 (RAL 9005), підключення 99, з комплектом кріплень Quantum 1 h=1500мм, довжина 245мм ТМ Betatherm</t>
  </si>
  <si>
    <t>Комплект підключення DUO-PLEX кутовий правий (RAL 9005) 602100101 ТМ Betatherm</t>
  </si>
  <si>
    <t>Різьбове з'єднання для мідних труб (RAL 9005) 602500002.RAL9005 ТМ Betatherm</t>
  </si>
  <si>
    <t>Демонтаж (перенесення) опалювальних приладів</t>
  </si>
  <si>
    <t>роботи з перенесення опалювальних приладів</t>
  </si>
  <si>
    <t>25</t>
  </si>
  <si>
    <t>Консоль підлогова внутрішня  тип 33 ВН 200 Kermi</t>
  </si>
  <si>
    <t>14</t>
  </si>
  <si>
    <t>Перенесення радіаторів на нове місце, з вузлом підключ. Kermi CV 33-20-1,0м</t>
  </si>
  <si>
    <t>Перенесення радіаторів на нове місце, з вузлом підключ. Kermi CV 22-50-0,6м</t>
  </si>
  <si>
    <t>Демонтаж радіатора Kermi CV 22-50-0,6м</t>
  </si>
  <si>
    <t>Демонтаж радіатора Kermi CV 33-20-1,6м</t>
  </si>
  <si>
    <t>Монтаж щита електричного</t>
  </si>
  <si>
    <t>Щит Hager Univers FWB62M2 156 модуліів</t>
  </si>
  <si>
    <t>тримач з  клеммами Hager 19xN + 17PE 1.5-4мм2 / 5xN + 5PE 1.5-25 мм2 VZ463</t>
  </si>
  <si>
    <t xml:space="preserve">Плита під лічильник для щитів Univers Hager U961N 300*250
</t>
  </si>
  <si>
    <t>комплект для сборки</t>
  </si>
  <si>
    <t>Монтаж автоматичних вимикачів 3-полюсних</t>
  </si>
  <si>
    <t>Автоматичний вимикач Moeller 3P PLHT-C100/3 20кА</t>
  </si>
  <si>
    <t>Автоматичний вимикач Moeller 3P PL6-C63/3 6kA</t>
  </si>
  <si>
    <t>Автоматичний вимикач Moeller 3P PL6-C40/3 6kA</t>
  </si>
  <si>
    <t>Автоматичний вимикач Moeller 3P PL6-C20/3 6kA</t>
  </si>
  <si>
    <t>Автоматичний вимикач Moeller 3P PL6-C16/3 6kA</t>
  </si>
  <si>
    <t>Автоматичний вимикач Moeller 3P PL6-C6/3 6kA</t>
  </si>
  <si>
    <t>Монтаж автоматичних вимикачів 1-полюсних</t>
  </si>
  <si>
    <t>Автоматичний вимикач 1-фазний PL6 Eaton 10 Ампер, тип «C»</t>
  </si>
  <si>
    <t>Автоматичний вимикач 1-фазний PL6 Eaton 16 Ампер, тип «C»</t>
  </si>
  <si>
    <t>Автоматичний вимикач 1-фазний PL6 Eaton 6 Ампер, тип «C»</t>
  </si>
  <si>
    <t>Монтаж лічильника</t>
  </si>
  <si>
    <t>лічильник NIK 2303 АРП1 5-100А (НІК 2303 АРП1)</t>
  </si>
  <si>
    <t>Монтаж диференційних автоматичних вимикачів</t>
  </si>
  <si>
    <t>Диференційний  автомат PFL6-16/1N/C/003</t>
  </si>
  <si>
    <t>Диференційний  автомат PFL6-10/1N/C/004</t>
  </si>
  <si>
    <t>Монтаж незалежного розчіплювача</t>
  </si>
  <si>
    <t>Шунтовий розчіплювач ZP-ASA/230, 220В, для PL PFL ZP-A Z-MS, Eaton</t>
  </si>
  <si>
    <t>монтаж Wi Fi вимикача</t>
  </si>
  <si>
    <t>Вимикач Sonoff Touch Wi-fi одноканальный сенсорный IM161230001</t>
  </si>
  <si>
    <t>монтаж індикатора напруги</t>
  </si>
  <si>
    <t>Індикатор напруги Hager SVN129</t>
  </si>
  <si>
    <t>монтаж реле</t>
  </si>
  <si>
    <t>Импульсне реле Hager EPN540 230В/16А 4НО</t>
  </si>
  <si>
    <t>монтаж премикача</t>
  </si>
  <si>
    <t>Перемикач I-0-II з загальним виходом знизу 230V 2-п 25А Hager SFB225</t>
  </si>
  <si>
    <t>Кабель та провід</t>
  </si>
  <si>
    <t>Прокладання труби гофрованої</t>
  </si>
  <si>
    <t xml:space="preserve">Труба гофрована 20/14,1 мм з протяжкою  (бухта 100м), ДКС </t>
  </si>
  <si>
    <t xml:space="preserve">Труба гофрована 25/14,1 мм з протяжкою  , ДКС </t>
  </si>
  <si>
    <t>Кліпса гофротруби пласт 20мм ДКС</t>
  </si>
  <si>
    <t>Дюбель пластиковий з саморізом CM06522 ДКС</t>
  </si>
  <si>
    <t>Прокладка кабелю та проводу до 16мм2</t>
  </si>
  <si>
    <t xml:space="preserve">Кабель ВВГнг.нд 3х1,5мм2 </t>
  </si>
  <si>
    <t>Кабель ВВГнг.нд 3х2,5мм2</t>
  </si>
  <si>
    <t>Кабель ВВГ нг. нд 4х1,5мм2</t>
  </si>
  <si>
    <t>Кабель ВВГ нг. нд 5х2,5мм2</t>
  </si>
  <si>
    <t>Провід ПВ3 1*6 ж/з</t>
  </si>
  <si>
    <t>Хомут кабельний 2,6х200 білий поліамід 6.6 ДКС</t>
  </si>
  <si>
    <t>Табличка маркувальна 26,4х16,2 поліамід 6.6, колір білий ДКС</t>
  </si>
  <si>
    <t>Ізоляційна стрічка товщина  0,15*19 25М, синя ДКС</t>
  </si>
  <si>
    <t>Прокладка кабелю та проводу до 50мм2</t>
  </si>
  <si>
    <t>Кабель ВВГнг.нд 5х6мм2</t>
  </si>
  <si>
    <t>Кабель ВВГнг.нд 5х10мм2</t>
  </si>
  <si>
    <t>Електроустановочні вироби</t>
  </si>
  <si>
    <t>Монтаж розподільчих коробок</t>
  </si>
  <si>
    <t>Розподільча коробка 100х100х50</t>
  </si>
  <si>
    <t>Монтаж установочних коробок</t>
  </si>
  <si>
    <t>Коробка установча г/к Schneider Electric D68x45 IMT35150</t>
  </si>
  <si>
    <t>Монтаж розеток</t>
  </si>
  <si>
    <t>Розетка із заземленням «Asfora», (колір антрацит) EPH2900171</t>
  </si>
  <si>
    <t>Розетка із заземленням і з кришкою «Asfora», (колір антрацит) EPH3100171</t>
  </si>
  <si>
    <t>Розетка USB 2,1A Asfora (EPH2700271 антрацит)</t>
  </si>
  <si>
    <t xml:space="preserve">Рамка 1-а «Asfora», (колір антрацит) </t>
  </si>
  <si>
    <t xml:space="preserve">Рамка 2-а «Asfora», (колір антрацит) </t>
  </si>
  <si>
    <t xml:space="preserve">Рамка 3-а «Asfora», (колір антрацит) </t>
  </si>
  <si>
    <t xml:space="preserve">Рамка 4-а «Asfora», (колір антрацит) </t>
  </si>
  <si>
    <t xml:space="preserve">Рамка 5-а «Asfora», (колір антрацит) </t>
  </si>
  <si>
    <t>Розетка із заземленням, подвійна IP44 Forix 782374, колір білий</t>
  </si>
  <si>
    <t>Монтаж вимикачів</t>
  </si>
  <si>
    <t>Вимикач 1-кл «Asfora», (колір антрацит) EPH0100171</t>
  </si>
  <si>
    <t>Вимикач 2-кл «Asfora», (колір антрацит) EPH0300171</t>
  </si>
  <si>
    <t>Монтаж світлорегуляторів</t>
  </si>
  <si>
    <t>Диммер поворотный Schneider Electric Asfora антрацит (EPH6400171)</t>
  </si>
  <si>
    <t>Монтаж розеток модульних</t>
  </si>
  <si>
    <t xml:space="preserve">Розетка modul 45 з заземл. та шторками 250V~, 16A, 33˚ / біла </t>
  </si>
  <si>
    <t>монтаж короба</t>
  </si>
  <si>
    <t>Кабель-канал 100x53 Rapid 45 / ПВХ</t>
  </si>
  <si>
    <t>Освітлювальне обладнання</t>
  </si>
  <si>
    <t>монтаж світильників підвісних</t>
  </si>
  <si>
    <t>LED панель підвісна кругла індивідуального виготовлення, D=600мм, 30Вт</t>
  </si>
  <si>
    <t>LED світильник підвісний індивідуального виготовлення 1100х1100мм, профіль 60 мм, колір
чорний, 80Вт</t>
  </si>
  <si>
    <t>LED світильник підвісний індивідуального виготовлення 1100х2200мм, профіль 60 мм, колір
чорний, 110Вт</t>
  </si>
  <si>
    <t>LED світильник підвісний круглий індивідуального виготовлення, D=900мм, колір чорний, 50Вт</t>
  </si>
  <si>
    <t>лінійний світильник Megane 1200мм 18 ВТ</t>
  </si>
  <si>
    <t>монттаж світильників вбудованих точкових</t>
  </si>
  <si>
    <t>світильник точковий білий 10 Вт</t>
  </si>
  <si>
    <t>світильник точковий чорний 10 Вт</t>
  </si>
  <si>
    <t xml:space="preserve">монтаж світильників підвісних </t>
  </si>
  <si>
    <t>підвісний світодіодний світильник 20 Вт чорний</t>
  </si>
  <si>
    <t>монтаж світильників підвісних точкових</t>
  </si>
  <si>
    <t>світильник точковий підвісний чорний 10 Вт</t>
  </si>
  <si>
    <t>монтаж лед панелі</t>
  </si>
  <si>
    <t>лед панель підвісна 4000 К 36 W</t>
  </si>
  <si>
    <t>монтаж світильників трекових</t>
  </si>
  <si>
    <t>світильник трековій 12 Вт 4000 К білий</t>
  </si>
  <si>
    <t>монтаж бра</t>
  </si>
  <si>
    <t>Бра Ideal Lux NEWTON AP1 NERO 27852</t>
  </si>
  <si>
    <t>Насінний світильник Rabalux 1433 MARLON</t>
  </si>
  <si>
    <t>встановлення логотипу</t>
  </si>
  <si>
    <t>.</t>
  </si>
  <si>
    <t>монтаж світильників настільних</t>
  </si>
  <si>
    <t>Настільна лампа Eglo 96133 Picaro 1 (89966)</t>
  </si>
  <si>
    <t>LED панель підвісна кругла індивідуального виготовлення, D=500мм, колір чорний, 50Вт</t>
  </si>
  <si>
    <t>монтаж шинопроводу</t>
  </si>
  <si>
    <t>шинопровід 200 В білій 2000 мм</t>
  </si>
  <si>
    <t>зеднання пряме</t>
  </si>
  <si>
    <t>Супутні роботи</t>
  </si>
  <si>
    <t>Заміри опору ізоляції</t>
  </si>
  <si>
    <t xml:space="preserve">Меблі корпусні </t>
  </si>
  <si>
    <t>М-1.1. Стіл    700х1200х750</t>
  </si>
  <si>
    <t>ДСП Egger H 3326 ST28 Дуб Гладстоун серо-бежевый 2800х2070х18,6мм  Код товара: 14522.
2363W Кромка ABS Дуб бронзовый 23х2мм (100 м.п.) REHAU. Каркас (А.Март).                                                            Пропуск для
кабеля MERIDA, 80 х 160 мм (gtv.net.ua/desktops/propusk-dlja-
kabelja-merida--80-h-160-mm-.html)</t>
  </si>
  <si>
    <t>М-1.2. Стіл    700х1300х750</t>
  </si>
  <si>
    <t>М-1.3. Стіл     600х1200х750</t>
  </si>
  <si>
    <t>М-1.4. Стіл (тумба ліворуч)     1700х600х750</t>
  </si>
  <si>
    <t>ДСП Egger H 3326 ST28 Дуб Гладстоун серо-бежевый 2800х2070х18,6мм  Код товара: 14522.
2363W Кромка ABS Дуб бронзовый 23х2мм (100 м.п.) REHAU. ДСП Egger W 1000 ST9 Белый премиум 2800х2070х18мм    Код товара: 83770.
76873 Кромка ABS Белый премиум PE 23х2мм (100 м.п.) REHAU. Muller метабокс 500 мм, H-86   Код товара: 11249.
Ножка мебельная регулируемая-стопка большая/манхеттен Н=50мм  Код товара: 79051.
Ручка U 9, 5000 мм, черный   Код товара: 50773 Каркас (А.Март).
(gtv.net.ua/desktops/propusk-dlja-kabelja-merida--80-h-160-mm-
.html)</t>
  </si>
  <si>
    <t>М-1.5. Стіл (тумба праворуч)     1700х600х750</t>
  </si>
  <si>
    <t>М-1.6. Стіл (тумба ліворуч)     1500х600х750</t>
  </si>
  <si>
    <t>М-1.7. Стіл (тумба праворуч)     1500х600х750</t>
  </si>
  <si>
    <t>М-1.8. Стіл      1600х700х750</t>
  </si>
  <si>
    <t>М-3. Стіл      2200х1000х750</t>
  </si>
  <si>
    <t>ДСП Egger H 3326 ST28 Дуб Гладстоун серо-бежевый 2800х2070х18,6мм  Код товара: 14522.
2363W Кромка ABS Дуб бронзовый 23х2мм (100 м.п.) REHAU.
Каркас (А.Март).</t>
  </si>
  <si>
    <t>М-4. Стіл      1600х700х750</t>
  </si>
  <si>
    <t>ДСП Egger H 3326 ST28 Дуб Гладстоун серо-бежевый 2800х2070х18,6мм Код товара: 14522.
2363W Кромка ABS Дуб бронзовый 43х2мм (100 м.п.) REHAU. ДСП Egger U 963 ST9 Диамант серый (Антрацит) 2800х2070х18мм Код товара: 34043.
76966 Кромка ABS Антрацит 23х2мм (100 м.п.) REHAU.
Ножка М6.</t>
  </si>
  <si>
    <t>М-4-1.Тумба      300х600х600</t>
  </si>
  <si>
    <t>ДСП Egger U 963 ST9 Диамант серый (Антрацит) 2800х2070х18мм Код товара: 34043.
76966 Кромка ABS Антрацит 23х2мм (100 м.п.) REHAU Направляющая телескоп. 45мм L=550 MULLER profi line с доводчиком Код товара: 96091.
Ролик пластиковый с площадкой Ferro Fiori R 10070 d=40, нагрузка 22 кг черный  Код товара: 46052.
Ручка U 9, 5000 мм, черный   Код товара: 50773.</t>
  </si>
  <si>
    <t>М-5.Тумба      300х600х600</t>
  </si>
  <si>
    <t>ДСП Egger H 3326 ST28 Дуб Гладстоун серо-бежевый 2800х2070х18,6мм Код товара: 14522.
2363W Кромка ABS Дуб бронзовый 23х2мм (100 м.п.) REHAU. ДСП Egger W 1000 ST9 Белый премиум 2800х2070х18мм    Код товара: 83770.
76873 Кромка ABS Белый премиум PE 23х2мм (100 м.п.) REHAU. Muller метабокс 500 мм, H-86   Код товара: 11249.
Ролик мебельный резиновый с площадкой D=40мм, круглый, нагрузка 25 кг  Код товара: 84602.
Ручка U 9, 5000 мм, черный   Код товара: 50773.</t>
  </si>
  <si>
    <t xml:space="preserve">М-6.Рецепція   1600х800х1100  </t>
  </si>
  <si>
    <t>МДФ 19 мм крашенный односторонний матовый (Лакомода). МДФ 19 мм крашенный двухсторонний матовый (Лакомода). Гнутый МДФ (Технорс).
Микроцемент (decorattoria.com). Ножка М6.
Пропуск для кабеля MERIDA, 80 х 160 мм (gtv.net.ua/desktops/propusk-dlja-kabelja-merida--80-h-160-mm-
.html).
Металлическая пластина (толщина 0,8 мм, 2400х250) (Аргониум) .
Клей.</t>
  </si>
  <si>
    <t>М-6-1.Тумба      300х550х600</t>
  </si>
  <si>
    <t>ДСП Egger W 1000 ST9 Белый премиум 2800х2070х18мм    Код товара: 83770.
76873 Кромка ABS Белый премиум PE 23х2мм (100 м.п.) REHAU. Направляющая телескоп. 45мм L=500mm MULLER PushOpen Код товара: 33552.
Ролик мебельный резиновый с площадкой D=40мм, круглый,
нагрузка 25 кг  Код товара: 84602.</t>
  </si>
  <si>
    <t>М-6.2. Тумба   1550х300х800</t>
  </si>
  <si>
    <t>МДФ 19 мм крашенный односторонный матовый (Лакомода). Петля Clip-On, накладная, без доводчика, Muller   Код товара: 23916.
Tip on.                                                                            Ножка М6</t>
  </si>
  <si>
    <t>М-6.3. Тумба   690х140</t>
  </si>
  <si>
    <t>МДФ 19 мм крашенный односторонный матовый (Лакомода).
Крепления.</t>
  </si>
  <si>
    <t>М-7. Стіл  1200х600х700</t>
  </si>
  <si>
    <t>ДСП Egger H 3326 ST28 Дуб Гладстоун серо-бежевый 2800х2070х18,6мм Код товара: 14522.
2363W Кромка ABS Дуб бронзовый 23х2мм (100 м.п.) REHAU. Пропуск для кабеля MERIDA, 80 х 160 мм (gtv.net.ua/desktops/propusk-dlja-kabelja-merida--80-h-160-mm-
.html).
Ножка М6.</t>
  </si>
  <si>
    <t>М-8. Кухня   4145х600х2400</t>
  </si>
  <si>
    <t>ДСП Egger U 963 ST9 Диамант серый (Антрацит) 2800х2070х18мм Код товара: 34043.
76966 Кромка ABS Антрацит 23х2мм (100 м.п.) REHAU. Направляющая телескоп. 45мм L=550 MULLER profi line с доводчиком Код товара: 96091.
Профиль GOLA горизонтальный, L = 4000 мм, type C, черный браш, Scilm   Код товара: 58411.
Комплект открытых заглушек для профилей GOLA, type C, пластик черный, Scilm  Код товара: 46168.
Профиль GOLA горизонтальный, L = 4000 мм, type L, черный браш, Scilm   Код товара: 58410.
Алюминиевый профиль черный мат. для светодиод. ленты врезн. 21х8мм L=3м Код товара: 55133.
РС Линза для алюм. проф.L=3м прозрачная  Код товара: 46999. LED-3528 SMD лента, 60 LEDs/M, 4.8W, 12V, IP20, дневной свет Код товара: 48200.
Блок питания для LED, 25W, 12V, IP20, метал. корпус 85х58 Код товара: 97277.
Tip on.
ЛХДФ Антрацит 0164 Kronospan 2800х2070х3мм  Код товара: 66264.
Петля Clip-On, накладная, без доводчика, Muller   Код товара: 23916.
Ножка кухонная регулируемая H=100мм, пластик, черная. Подвес кухонный под саморез, белый CAMAR 806.
Шина L=2000 мм, оцинкованная.
Акриловый камень серии S  (vatel.kiev.ua).</t>
  </si>
  <si>
    <t>М-8.1. Стіл обідній    600х600х740</t>
  </si>
  <si>
    <t>ДСП Egger U 830 Карамель нюд ST9 2800х2070х18мм   Код товара: 69458.
U830 Кромка ABS Карамель нюд ST9 23х2мм (75 м.п.) EGGER.
Опора  (А. Март).</t>
  </si>
  <si>
    <t>М-8.2. Стійка барна   1300х500</t>
  </si>
  <si>
    <t>ДСП Egger U 830 Карамель нюд ST9 2800х2070х18мм   Код товара: 69458.
Мебельная кромка ABS Egger 42/2 мм U830 ST9 Карамель нюд (vybor.biz.ua/catalog/tovar/27842).
Кронштейн  (Стилгрей).</t>
  </si>
  <si>
    <t>М-8.3. Стійка барна   1800х1065х1200</t>
  </si>
  <si>
    <t>ДСП Egger U 830 Карамель нюд ST9 2800х2070х18мм   Код товара: 69458.
U830 Кромка ABS Карамель нюд ST9 23х2мм (75 м.п.) EGGER.
Кронштейн  (Стилгрей).                                                   Опора  (А. Март).</t>
  </si>
  <si>
    <t>М-9.1. Консольний стіл 1070х390</t>
  </si>
  <si>
    <t>ДСП Egger H 3326 ST28 Дуб Гладстоун серо-бежевый 2800х2070х18,6мм  Код товара: 14522.
2363W Кромка ABS Дуб бронзовый 23х2мм (100 м.п.) REHAU.
Кронштейн  (Стилгрей).</t>
  </si>
  <si>
    <t>М-9.2. Консольний стіл  500х600</t>
  </si>
  <si>
    <t>М-9.3. Консольний стіл  340х1000</t>
  </si>
  <si>
    <t>М-10.1. Шафа 2400х350х2800</t>
  </si>
  <si>
    <t>ДСП Swiss Krono U 540 VL Каменный Серый 2800х2070х18мм Код товара: 67135.
67605 Кромка ABS Серый манхеттен 23х2мм (100 м.п.) REHAU. ДСП Egger U 325 Розовый антик ST9 2800х2070х18мм    Код товара: 69455.
U325 Кромка ABS Розовый антик ST9 23х2мм (75 м.п.) EGGER. Петля Clip-On, накладная, без доводчика, Muller   Код товара: 23916.
Tip on.
Ножка цокольная .</t>
  </si>
  <si>
    <t>М-10.2. Шафа 3145х350х2800</t>
  </si>
  <si>
    <t>М-10.3. Шафа 3070х340х2800</t>
  </si>
  <si>
    <t>М-11.1. Шафа 1125х275х2800</t>
  </si>
  <si>
    <t>ДСП Egger H 3326 ST28 Дуб Гладстоун серо-бежевый 2800х2070х18,6мм Код товара: 14522.
2363W Кромка ABS Дуб бронзовый 23х2мм (100 м.п.) REHAU. ДСП Egger W 1000 ST9 Белый премиум 2800х2070х18мм    Код товара: 83770.
76873 Кромка ABS Белый премиум PE 23х2мм (100 м.п.) REHAU. Петля Clip-On, накладная, без доводчика, Muller   Код товара: 23916.
Tip on.
Ножка цокольная .</t>
  </si>
  <si>
    <t>М-11.2. Шафа 1125х275х2800</t>
  </si>
  <si>
    <t>М-11.4. Шафа 2650х330х2800</t>
  </si>
  <si>
    <t>М-12.1. Шафа 975х350х2800</t>
  </si>
  <si>
    <t>ДСП Swiss Krono U 540 VL Каменный Серый 2800х2070х18мм Код товара: 67135.
67605 Кромка ABS Серый манхеттен 23х2мм (100 м.п.) REHAU. Петля Clip-On, накладная, без доводчика, Muller   Код товара: 23916.
Tip on.
Ножка цокольная .</t>
  </si>
  <si>
    <t>М-12.2. Шафа 1250х450х2800</t>
  </si>
  <si>
    <t>М-12.3. Шафа 1125х500х2800</t>
  </si>
  <si>
    <t>М-13. Шафа гардеробна 2056х600х2800</t>
  </si>
  <si>
    <t>ДСП Egger W 1000 ST9 Белый премиум 2800х2070х18мм    Код товара: 83770.
76873 Кромка ABS Белый премиум PE 23х2мм (100 м.п.) REHAU. Ручка U 9, 5000 мм, черный   Код товара: 50773.
Труба д=25 мм, L=3000мм 1,1 мм - хром (+Фланцы R11M). Петля Clip-On, накладная, без доводчика, Muller   Код товара: 23916.
Ножка цокольная .</t>
  </si>
  <si>
    <t>М-14. Стеллаж 854х324х2800</t>
  </si>
  <si>
    <t>ДСП Swiss Krono U 540 VL Каменный Серый 2800х2070х18мм Код товара: 67135.
67605 Кромка ABS Серый манхеттен 23х2мм (100 м.п.) REHAU.
Каркас (А. Март).</t>
  </si>
  <si>
    <t>М-15. Шафа  1960х300х2800</t>
  </si>
  <si>
    <t>ДСП Egger H 3326 ST28 Дуб Гладстоун серо-бежевый 2800х2070х18,6мм Код товара: 14522.
2363W Кромка ABS Дуб бронзовый 23х2мм (100 м.п.) REHAU. Петля Clip-On, накладная, без доводчика, Muller   Код товара: 23916.
Tip on.
Ножка цокольная .</t>
  </si>
  <si>
    <t>М-16.1. Coffeepoint 1140х455х2800</t>
  </si>
  <si>
    <t>ДСП Egger U 830 Карамель нюд ST9 2800х2070х18мм   Код товара: 69458
U830 Кромка ABS Карамель нюд ST9 23х2мм (75 м.п.) EGGER. Петля Clip-On, накладная, без доводчика, Muller   Код товара: 23916.
Tip on.
Ножка цокольная.</t>
  </si>
  <si>
    <t>М-16.2. Coffeepoint 1080х600х900</t>
  </si>
  <si>
    <t>М-17. Гардероб 2000х1750х2800</t>
  </si>
  <si>
    <t>ДСП Egger W 1000 ST9 Белый премиум 2800х2070х18мм    Код товара: 83770.
76873 Кромка ABS Белый премиум PE 23х2мм (100 м.п.) REHAU. Ножка цокольная.
Труба д=25 мм, L=3000мм 1,1 мм - хром (+Фланцы R11M). Гардеробный лифт (пантограф) 600-830мм, 12кг, белый Muller Код товара: 43704.
Гардеробный лифт (пантограф) 830-1150мм, 12 кг, белый Muller
Код товара: 43706.</t>
  </si>
  <si>
    <t>М-18. Тумба  1500х300х500</t>
  </si>
  <si>
    <t>ДСП Egger H 3326 ST28 Дуб Гладстоун серо-бежевый 2800х2070х18,6мм Код товара: 14522.
2363W Кромка ABS Дуб бронзовый 23х2мм (100 м.п.) REHAU. Направляющая 260 мм Tandem plus Blum.
Tip on для Tandem plus.
Опора 20х20 (А. Март).</t>
  </si>
  <si>
    <t>1525х400х2800</t>
  </si>
  <si>
    <t>М-19 Стелаж 1525х400х2800</t>
  </si>
  <si>
    <t>ДСП Egger W 1000 ST9 Белый премиум 2800х2070х18мм    Код товара: 83770.
76873 Кромка ABS Белый премиум PE 23х2мм (100 м.п.) REHAU. ДСП Swiss Krono U 540 VL Каменный Серый 2800х2070х18мм Код товара: 67135.
67605 Кромка ABS Серый манхеттен 23х2мм (100 м.п.) REHAU. Петля Clip-On, накладная, без доводчика, Muller   Код товара: 23916.
Tip on.
Ножка цокольная .</t>
  </si>
  <si>
    <t>М-20.1. Тумба для раковины 1800х500х480</t>
  </si>
  <si>
    <t>Акриловый камень серии S (с мелкими вкраплениями) (vatel.kiev.ua).
МДФ 19 мм (крашенный односторонний матовый) (Лакомода). ДСП Kronospan 0110 PE Белый/Белый корпусный 2800x2070x18мм Код товара: 30100.
91470 Кромка ABS Белая PE 23х2мм (100 м.п.) REHAU
Каркас (А.Март).</t>
  </si>
  <si>
    <t>М-20.2. Тумба для раковины  1300х500х480</t>
  </si>
  <si>
    <t>М-21.1. Фасади розсувні   2910х2100</t>
  </si>
  <si>
    <t>ДСП Egger U 963 ST9 Диамант серый (Антрацит) 2800х2070х18мм Код товара: 34043.
76966 Кромка ABS Антрацит 23х2мм (100 м.п.) REHAU. Раздвижная система Hafele Classic 40 IF C  со стопором
(hafeleshop.com.ua)</t>
  </si>
  <si>
    <t>М-21.2. Фасади розсувні   3275х2100</t>
  </si>
  <si>
    <t>М-22. Диван 1100х480х900</t>
  </si>
  <si>
    <r>
      <rPr>
        <u/>
        <sz val="10"/>
        <color rgb="FF0563C1"/>
        <rFont val="Arial"/>
        <family val="2"/>
        <charset val="204"/>
      </rPr>
      <t>dls.ua</t>
    </r>
  </si>
  <si>
    <t>М-23. Вбудований диван 1225х875х2100</t>
  </si>
  <si>
    <t>М-24. Стіл складний трансформер  1000х1200х750</t>
  </si>
  <si>
    <t>ДСП Egger H 3326 ST28 Дуб Гладстоун серо-бежевый 2800х2070х18,6мм  Код товара: 14522.
2363W Кромка ABS Дуб бронзовый 23х2мм (100 м.п.) REHAU.
Каркас (Стилгрей).</t>
  </si>
  <si>
    <t>М-25. Зеркало кругле d-
1800</t>
  </si>
  <si>
    <t>Зеркало 4 мм (затемняющее бронзовое покрытие) в
металической рамке (kzs.com.ua)</t>
  </si>
  <si>
    <t>Підвіконня Вхідна зона</t>
  </si>
  <si>
    <t>Підвіконня МДФ 400х38мм. Шпон дуба, тонування+лак, крайка зі шпону дуба. (аналог ДСП Egger Білий преміум  W 1000 ST9)</t>
  </si>
  <si>
    <t>Підвіконня Кабінет №12</t>
  </si>
  <si>
    <t>Підвіконня Кабінет №13</t>
  </si>
  <si>
    <t>Підвіконня Кабінет №3</t>
  </si>
  <si>
    <t>Підвіконня Кабінет №4</t>
  </si>
  <si>
    <t>АКП приміщення №2</t>
  </si>
  <si>
    <t xml:space="preserve">Тканеві панелі в ніші. Звукопоглинаючі. 1125х600 Зносостійка тканина. В колір стіни, за проектом. </t>
  </si>
  <si>
    <t xml:space="preserve">Тканеві панелі в ніші. Звукопоглинаючі. 2350х600 Зносостійка тканина. В колір стіни за проектом. </t>
  </si>
  <si>
    <t>Стілець Ovidio OV 1M2 WHITE</t>
  </si>
  <si>
    <t>Стілець Milla ML 103</t>
  </si>
  <si>
    <t>Стілець CorrCJ 103</t>
  </si>
  <si>
    <t>Стілець SPLITSP 215 (білий)</t>
  </si>
  <si>
    <t>Стілець Momo MO H (опора чорна , тканина silvertex SV4003)</t>
  </si>
  <si>
    <t>Стілець SN W H ( тканина Accessoire AC266)</t>
  </si>
  <si>
    <t>Стілець Bejot OT 215 O 2N (графіт)</t>
  </si>
  <si>
    <t>Стілець Bejot OT 215 O 2N (синій)</t>
  </si>
  <si>
    <t>Регульований стіл Odinn-mechanic 1200х700 (Опора біла,стільниця світле дерево) 211209</t>
  </si>
  <si>
    <t>Cтіл складний OT 2L (Стільниця біла, опора чорна)</t>
  </si>
  <si>
    <t>Крісло OX W 720 (Опора пофарбування RAL 9004
(чорна) оббивка зовні Accessoire AC880,знизу Era CSE14, оббивка всередині  Era - Studio Design CSE38)</t>
  </si>
  <si>
    <t>Bejot стілець EP 220 (Метал чорний, оббивка Accessoire AC880)</t>
  </si>
  <si>
    <t>Bejot стілець EP 220 (Метал чорний, оббивка Era - Studio Design CSE25)</t>
  </si>
  <si>
    <t>Bejot стілець EP 220 (Метал чорний, оббивка Era - Studio Design CSE38)</t>
  </si>
  <si>
    <t>Крісло Uni (Колір електрик)</t>
  </si>
  <si>
    <t>Столик диванный Q (метал чорний, стільниця біла)</t>
  </si>
  <si>
    <t>Сталаж з сіткою (Сітка чорна, колір плити-
білий, Розмір 80
см х 37 см х 190 см) DROM198</t>
  </si>
  <si>
    <t>Стелаж FRIENDLY (Дерево світле)</t>
  </si>
  <si>
    <t>Кофейный столик Lagertha (Метал чорний, стільниця дерево натуральне) DROM227</t>
  </si>
  <si>
    <t>Матеріали постачаються замовником</t>
  </si>
  <si>
    <t>Система СКС</t>
  </si>
  <si>
    <t>Прокладання кабелю 4x2</t>
  </si>
  <si>
    <t>Кабель U/UTP кат. 6 250МГц 4пары LSOH марка КПВонг-HF-ВП (250)</t>
  </si>
  <si>
    <t>Прокладання мультимедійного та коаксіального кабелю</t>
  </si>
  <si>
    <t>Кабель коаксиальний РК 75-3-32В</t>
  </si>
  <si>
    <t>HDMI Патчкорд , High Speed (позолочена контактна група) 15 м, чорний</t>
  </si>
  <si>
    <t>Переходник N-322 - Розетка</t>
  </si>
  <si>
    <t>Підлогова шафа MIRSAN GTV 19" 42U 600x800, RAL 9005 у комплекті з монтажними елементами</t>
  </si>
  <si>
    <t>Разъем под кабель RG-58 обжимной N7301А N-male RG-58</t>
  </si>
  <si>
    <t>Патч-корд DIGITUS CCA CAT 6 UTP, 1м, AWG 26/7, PVC, серый</t>
  </si>
  <si>
    <t xml:space="preserve">Термінування портів UTP RJ45 кат. 5e,6 на кросс-панелях </t>
  </si>
  <si>
    <t>Маркування портів</t>
  </si>
  <si>
    <t>Тестування кабельних з’єднань 4х2 RJ45 кат.6, 6а, UTP, FTP</t>
  </si>
  <si>
    <t>Бездротова точка Доступу Aruba AP-105</t>
  </si>
  <si>
    <t>UTP7201GE-PSE60 Hi-PoE инжектор (60Вт)</t>
  </si>
  <si>
    <t>Блок розеток ZPAS 0U 861 мм. 18 розеток schuko з викл./8544429098/</t>
  </si>
  <si>
    <t>Кабельний організатор ZPAS 19" 1U однобічна гребінка, метал</t>
  </si>
  <si>
    <t>Встановлення розеток RJ45</t>
  </si>
  <si>
    <t>Модуль Keystone UTP 180°, кат.6, Dual Type IDC, цвет белый</t>
  </si>
  <si>
    <t>Термінування портів UTP RJ45 кат. 5e,6 на розетках</t>
  </si>
  <si>
    <t>Модульная вставка, 22,5х45 1 порт</t>
  </si>
  <si>
    <t>Розетка компьютерная 2-я RJ45 кат.6/UTP (цвет антрацит)</t>
  </si>
  <si>
    <t>Рамка 1-а (цвет антрацит)</t>
  </si>
  <si>
    <t xml:space="preserve">Встановлення підрозетників </t>
  </si>
  <si>
    <t>Коробка внешнего монтажа(цвет антрацит)</t>
  </si>
  <si>
    <t>Выход для HDMI кабеля</t>
  </si>
  <si>
    <t>Антена направленная ANTENITI Multi Band 10 dbi</t>
  </si>
  <si>
    <t>Антена планшетная ANTENITI Multi Band 8 dbi</t>
  </si>
  <si>
    <t>Підсилювач голосового зв’язку Lintratek KW20L-GDW</t>
  </si>
  <si>
    <t>Монтаж лотку 100 мм (на висоті більше 3 м)</t>
  </si>
  <si>
    <t>Короб/лоток перфорований 150х50 гарячого цинкування, метод Сендзіміра,</t>
  </si>
  <si>
    <t>Кут CPO 90 горизонтальний 90°, 100х50, гарячого цинкування, метод</t>
  </si>
  <si>
    <t>Кут CS 90 вертикальний внутрішній 90°, 150/50, гарячого цинкування, метод</t>
  </si>
  <si>
    <t>С-подібний профіль 41х21, довжина 3000 мм, товщина 1,5 мм, гарячого</t>
  </si>
  <si>
    <t>Забивний анкер М8</t>
  </si>
  <si>
    <t>Шпилька М8х1000</t>
  </si>
  <si>
    <t>Шайба М8 вузька DIN125</t>
  </si>
  <si>
    <t>Інші роботи:</t>
  </si>
  <si>
    <t>Гайка шестигранна М8</t>
  </si>
  <si>
    <t>Прокладання гофрошлангу</t>
  </si>
  <si>
    <t>Труба ПВХ гнучка гофр. д.16мм, стандартна з протяжкою, сірий колір, бухта</t>
  </si>
  <si>
    <t>Труба ПВХ гнучка гофр. д.25мм, стандартна з протяжкою, сірий колір, бухта</t>
  </si>
  <si>
    <t>Монтаж труби</t>
  </si>
  <si>
    <t>Труба ПВХ жорстка гладка д.16мм, стандартна, 3м, сірий колір</t>
  </si>
  <si>
    <t>Труба електротехнічна оцинкована з обробленим гратом д.20x1x3000 мм</t>
  </si>
  <si>
    <t>Тримач з фіксатором, Ø16мм</t>
  </si>
  <si>
    <t>Тримач з кришкою д.20мм, оцинкована сталь</t>
  </si>
  <si>
    <t>Тримач з фіксатором, Ø25мм</t>
  </si>
  <si>
    <t>Інші матеріали та роботи, які не враховані вище</t>
  </si>
  <si>
    <t xml:space="preserve">Система ПС, Оповіщення та управління евакуацією </t>
  </si>
  <si>
    <t>Номінований виконавець</t>
  </si>
  <si>
    <t>Виконання монтажних робіт основного обладнання</t>
  </si>
  <si>
    <t>Сповіщувач пожежний димовий оптичний точковий адресний СПДОТА</t>
  </si>
  <si>
    <t>Виконання монтажних робіт по прокладці кабелів</t>
  </si>
  <si>
    <t>Сповіщувач пожежний тепловий точковий адресний СПТТА</t>
  </si>
  <si>
    <t>Оповіщувач світло-звуковий, "ПОЖЕЖА", ОСЗ-2</t>
  </si>
  <si>
    <t>Виносний пристрій світлової індікації (ВУОС)</t>
  </si>
  <si>
    <t>Кабель сигнальний, 1х2х0,8 (J-Y(St)Y…Lg 1x2x0,8)</t>
  </si>
  <si>
    <t>Кабель сигнальний з межею вогнестійкості Е30, 1х2х0,8 (JE-H(St)H…FE180/E30 FB30 1x2x0,8)</t>
  </si>
  <si>
    <t>Коробка вогнетривка КВР 01/30-100В</t>
  </si>
  <si>
    <t>Саморіз (100 шт)</t>
  </si>
  <si>
    <t>упак.</t>
  </si>
  <si>
    <t>Дюбель (100 шт)</t>
  </si>
  <si>
    <t>Тримач універсальний «Ялинка» (100 шт)</t>
  </si>
  <si>
    <t>Дюбель-цвях металевий (100 шт)</t>
  </si>
  <si>
    <t>Пусконалагоджувальні роботи</t>
  </si>
  <si>
    <t>Кабельний канал ПВХ</t>
  </si>
  <si>
    <t>Виконавча документація</t>
  </si>
  <si>
    <t xml:space="preserve">Перфорована металева стрічка </t>
  </si>
  <si>
    <t>Диспетчеризація та автоматизація систем протипожежного захисту</t>
  </si>
  <si>
    <t>Блок живлення, 220В 12в 5а</t>
  </si>
  <si>
    <t>Блок комутації адресний БКА-220</t>
  </si>
  <si>
    <t>Коробка вогнестійка розподільча КВР 01/30-100В</t>
  </si>
  <si>
    <t>Кабель 1х2х0,8 (JE-H(St)H FE180/E30)</t>
  </si>
  <si>
    <t>Кабель 3х1,5 (Flame X950 (N) HXH FE 180/E30)</t>
  </si>
  <si>
    <t>Кабель 2х2х0.8 (J-Y(St)Y-Lg)</t>
  </si>
  <si>
    <t>Короб 15х25</t>
  </si>
  <si>
    <t>Дюбель пластиковий (100 шт)</t>
  </si>
  <si>
    <t>Саморіз металевий (100 шт)</t>
  </si>
  <si>
    <t>Перфорована металева стрічка 30м</t>
  </si>
  <si>
    <t>Система протидимного захисту</t>
  </si>
  <si>
    <t>Клапан димовидалення КПДВ-М 850х400 (багатостулковий)
з ел. приводом Belimo BFN230 та декоративною решіткою РК-02</t>
  </si>
  <si>
    <t>Повітроводи класу "В" з оцинкованої товщиною 1мм, 850х400</t>
  </si>
  <si>
    <t>Повітроводи класу "В" з оцинкованої товщиною 1мм, 1000х200</t>
  </si>
  <si>
    <t>Повітроводи класу "В" з оцинкованої товщиною 1мм, 1000х300</t>
  </si>
  <si>
    <t>Ізоляція типу "Fix" (ЕІ60)</t>
  </si>
  <si>
    <t>Клей силікатний, модифікований</t>
  </si>
  <si>
    <t>Шнур базольтовий БТШ 18</t>
  </si>
  <si>
    <t>Стрічка алюмінієва</t>
  </si>
  <si>
    <t>Такелажні роботи</t>
  </si>
  <si>
    <t>Піна вогнетривка</t>
  </si>
  <si>
    <t>Комплект кріплень повітропроводу</t>
  </si>
  <si>
    <t>Автоматична система газового пожежогасіння</t>
  </si>
  <si>
    <t>Блок дистанційного управління БДУ</t>
  </si>
  <si>
    <t>Блок дистанційного управління БДУ-4</t>
  </si>
  <si>
    <t>Акумулятор  12В, 2,3 А/г</t>
  </si>
  <si>
    <t>Модуль газового пожежогасіння МГП "Імпульс-20"</t>
  </si>
  <si>
    <t>Модуль газового пожежогасіння МГП "Імпульс-20" резерв</t>
  </si>
  <si>
    <t>Газова вогнегасяча речовина Хладон 227еа (HFC 227еа)</t>
  </si>
  <si>
    <t>Газова вогнегасяча речовина Хладон 227еа (HFC 227еа) резерв</t>
  </si>
  <si>
    <t>Оповіщувач світло-звуковий «ГАЗ ВИХОДЬ!» ОСЗ-4</t>
  </si>
  <si>
    <t>Оповіщувач світловий «ГАЗ НЕ ВХОДИТИ!» ОС-3</t>
  </si>
  <si>
    <t>Сповіщувач магнітоконтактний СОМК 1-9</t>
  </si>
  <si>
    <t>Кнопка керування автоматикою «Ручний режим» КА 01-Б</t>
  </si>
  <si>
    <t>Кнопка керування автоматикою «Аварійне зупинення» КА 01-С</t>
  </si>
  <si>
    <t>Кнопка керування автоматикою «Ручне запускання» КА 01-Ж</t>
  </si>
  <si>
    <t>Кабель силовий з межею вогнестійкості Е30, 2х1,5 ((N)HXH-FE 180/E30 2x1,5)</t>
  </si>
  <si>
    <t>Кабель сигнальний з межею вогнестійкості Е30, 2х2х0,8 (JE-H(St)H…Bd FE180/E30 2х2х0,8)</t>
  </si>
  <si>
    <t>Кабель сигнальний з межею вогнестійкості Е30, 1х2х0,8 (JE-H(St)H…Bd FE180/E30 1х2х0,8)</t>
  </si>
  <si>
    <t>Кабель силовий з межею вогнестійкості Е30, 3х1,5 ((N)HXH-FE 180/E30 3x1,5)</t>
  </si>
  <si>
    <t>Дверний доводчик DORMA TS Compact</t>
  </si>
  <si>
    <t>Герметичний корпус ip66  300х250х100</t>
  </si>
  <si>
    <t>Металорукав д.20</t>
  </si>
  <si>
    <t>Скоба, кріплення для метелорукава  (100шт в упак.)</t>
  </si>
  <si>
    <t>ETO Дюбель 6,5х20/М5 латунь  (200 шт. в упак.)</t>
  </si>
  <si>
    <t>DIN967 Гвинт М5х20 бурт цб PZ+PL  (500 шт. в упак)</t>
  </si>
  <si>
    <t>Кабельне кріплення для проводу ⌀ 3-8 мм круглий кабель (100 шт./уп.) Універсал №1</t>
  </si>
  <si>
    <t>уп.</t>
  </si>
  <si>
    <t>(пропонується учасником тендеру)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</si>
</sst>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[$-419]General"/>
    <numFmt numFmtId="167" formatCode="[$-419]0%"/>
    <numFmt numFmtId="168" formatCode="[$-419]#,##0.00"/>
    <numFmt numFmtId="169" formatCode="_-* #,##0.00\ _U_A_H_-;\-* #,##0.00\ _U_A_H_-;_-* &quot;-&quot;??\ _U_A_H_-;_-@_-"/>
  </numFmts>
  <fonts count="34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u/>
      <sz val="8"/>
      <color indexed="12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Arial"/>
      <family val="2"/>
    </font>
    <font>
      <sz val="10"/>
      <color rgb="FF000000"/>
      <name val="Helv"/>
    </font>
    <font>
      <sz val="10"/>
      <color rgb="FF000000"/>
      <name val="Arial Cyr"/>
      <charset val="204"/>
    </font>
    <font>
      <sz val="11"/>
      <name val="Calibri"/>
      <family val="2"/>
      <charset val="204"/>
      <scheme val="minor"/>
    </font>
    <font>
      <u/>
      <sz val="10"/>
      <color rgb="FF0563C1"/>
      <name val="Arial"/>
      <family val="2"/>
      <charset val="204"/>
    </font>
    <font>
      <b/>
      <sz val="10"/>
      <color rgb="FF00B0F0"/>
      <name val="Arial"/>
      <family val="2"/>
      <charset val="204"/>
    </font>
    <font>
      <sz val="10"/>
      <color rgb="FF222222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8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0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1" fillId="0" borderId="0"/>
    <xf numFmtId="0" fontId="11" fillId="0" borderId="0"/>
    <xf numFmtId="0" fontId="12" fillId="0" borderId="0"/>
    <xf numFmtId="166" fontId="15" fillId="0" borderId="0" applyBorder="0" applyProtection="0"/>
    <xf numFmtId="0" fontId="16" fillId="0" borderId="0"/>
    <xf numFmtId="166" fontId="17" fillId="0" borderId="0" applyBorder="0" applyProtection="0"/>
    <xf numFmtId="167" fontId="15" fillId="0" borderId="0" applyBorder="0" applyProtection="0"/>
    <xf numFmtId="0" fontId="16" fillId="0" borderId="0"/>
    <xf numFmtId="166" fontId="18" fillId="0" borderId="0" applyBorder="0" applyProtection="0"/>
    <xf numFmtId="0" fontId="16" fillId="0" borderId="0"/>
    <xf numFmtId="166" fontId="15" fillId="0" borderId="0" applyBorder="0" applyProtection="0"/>
    <xf numFmtId="43" fontId="31" fillId="0" borderId="0" applyFont="0" applyFill="0" applyBorder="0" applyAlignment="0" applyProtection="0"/>
  </cellStyleXfs>
  <cellXfs count="296">
    <xf numFmtId="0" fontId="0" fillId="0" borderId="0" xfId="0"/>
    <xf numFmtId="0" fontId="8" fillId="0" borderId="1" xfId="3" applyFont="1" applyFill="1" applyBorder="1" applyAlignment="1">
      <alignment horizontal="center" wrapText="1"/>
    </xf>
    <xf numFmtId="0" fontId="2" fillId="0" borderId="1" xfId="3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left" wrapText="1"/>
    </xf>
    <xf numFmtId="4" fontId="2" fillId="0" borderId="1" xfId="0" applyNumberFormat="1" applyFont="1" applyFill="1" applyBorder="1" applyAlignment="1">
      <alignment horizontal="right"/>
    </xf>
    <xf numFmtId="2" fontId="8" fillId="0" borderId="1" xfId="3" applyNumberFormat="1" applyFont="1" applyFill="1" applyBorder="1" applyAlignment="1">
      <alignment horizontal="right" wrapText="1"/>
    </xf>
    <xf numFmtId="49" fontId="4" fillId="0" borderId="1" xfId="0" applyNumberFormat="1" applyFont="1" applyFill="1" applyBorder="1" applyAlignment="1">
      <alignment horizontal="left" wrapText="1"/>
    </xf>
    <xf numFmtId="0" fontId="8" fillId="0" borderId="5" xfId="5" applyFont="1" applyFill="1" applyBorder="1" applyAlignment="1">
      <alignment horizontal="center" wrapText="1"/>
    </xf>
    <xf numFmtId="0" fontId="8" fillId="0" borderId="6" xfId="5" applyFont="1" applyFill="1" applyBorder="1" applyAlignment="1">
      <alignment horizontal="center" wrapText="1"/>
    </xf>
    <xf numFmtId="0" fontId="10" fillId="0" borderId="1" xfId="3" applyFont="1" applyFill="1" applyBorder="1" applyAlignment="1">
      <alignment horizontal="center" wrapText="1"/>
    </xf>
    <xf numFmtId="49" fontId="2" fillId="0" borderId="1" xfId="0" applyNumberFormat="1" applyFont="1" applyBorder="1" applyAlignment="1">
      <alignment horizontal="left" wrapText="1"/>
    </xf>
    <xf numFmtId="0" fontId="8" fillId="0" borderId="1" xfId="5" applyFont="1" applyFill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14" fillId="0" borderId="1" xfId="0" applyNumberFormat="1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 wrapText="1"/>
    </xf>
    <xf numFmtId="49" fontId="2" fillId="0" borderId="7" xfId="0" applyNumberFormat="1" applyFont="1" applyFill="1" applyBorder="1" applyAlignment="1">
      <alignment horizontal="left" wrapText="1"/>
    </xf>
    <xf numFmtId="168" fontId="19" fillId="0" borderId="1" xfId="18" applyNumberFormat="1" applyFont="1" applyFill="1" applyBorder="1" applyAlignment="1" applyProtection="1">
      <alignment vertical="center"/>
    </xf>
    <xf numFmtId="168" fontId="19" fillId="0" borderId="1" xfId="18" applyNumberFormat="1" applyFont="1" applyFill="1" applyBorder="1" applyAlignment="1" applyProtection="1"/>
    <xf numFmtId="49" fontId="4" fillId="3" borderId="1" xfId="0" applyNumberFormat="1" applyFont="1" applyFill="1" applyBorder="1" applyAlignment="1">
      <alignment horizontal="left" wrapText="1"/>
    </xf>
    <xf numFmtId="2" fontId="2" fillId="0" borderId="1" xfId="9" applyNumberFormat="1" applyFont="1" applyFill="1" applyBorder="1" applyAlignment="1">
      <alignment horizontal="center" wrapText="1"/>
    </xf>
    <xf numFmtId="0" fontId="8" fillId="0" borderId="1" xfId="3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2" fontId="2" fillId="0" borderId="1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 applyProtection="1">
      <alignment horizontal="right"/>
    </xf>
    <xf numFmtId="165" fontId="2" fillId="0" borderId="1" xfId="0" applyNumberFormat="1" applyFont="1" applyFill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3" fontId="2" fillId="0" borderId="1" xfId="0" applyNumberFormat="1" applyFont="1" applyFill="1" applyBorder="1" applyAlignment="1" applyProtection="1">
      <alignment horizontal="right"/>
    </xf>
    <xf numFmtId="3" fontId="2" fillId="0" borderId="1" xfId="12" applyNumberFormat="1" applyFont="1" applyFill="1" applyBorder="1" applyAlignment="1" applyProtection="1">
      <alignment horizontal="right"/>
    </xf>
    <xf numFmtId="0" fontId="0" fillId="0" borderId="1" xfId="0" applyBorder="1" applyAlignment="1">
      <alignment horizontal="right"/>
    </xf>
    <xf numFmtId="0" fontId="13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 wrapText="1"/>
    </xf>
    <xf numFmtId="3" fontId="2" fillId="0" borderId="1" xfId="15" applyNumberFormat="1" applyFont="1" applyFill="1" applyBorder="1" applyAlignment="1" applyProtection="1">
      <alignment horizontal="right"/>
    </xf>
    <xf numFmtId="3" fontId="2" fillId="0" borderId="1" xfId="3" applyNumberFormat="1" applyFont="1" applyFill="1" applyBorder="1" applyAlignment="1">
      <alignment horizontal="right"/>
    </xf>
    <xf numFmtId="4" fontId="2" fillId="0" borderId="1" xfId="15" applyNumberFormat="1" applyFont="1" applyFill="1" applyBorder="1" applyAlignment="1" applyProtection="1">
      <alignment horizontal="right"/>
    </xf>
    <xf numFmtId="0" fontId="2" fillId="0" borderId="7" xfId="0" applyFont="1" applyFill="1" applyBorder="1" applyAlignment="1">
      <alignment horizontal="right"/>
    </xf>
    <xf numFmtId="1" fontId="11" fillId="0" borderId="9" xfId="0" applyNumberFormat="1" applyFont="1" applyFill="1" applyBorder="1" applyAlignment="1">
      <alignment horizontal="right" shrinkToFit="1"/>
    </xf>
    <xf numFmtId="4" fontId="2" fillId="0" borderId="1" xfId="3" applyNumberFormat="1" applyFont="1" applyFill="1" applyBorder="1" applyAlignment="1">
      <alignment horizontal="right"/>
    </xf>
    <xf numFmtId="0" fontId="8" fillId="0" borderId="1" xfId="3" applyNumberFormat="1" applyFont="1" applyFill="1" applyBorder="1" applyAlignment="1">
      <alignment horizontal="right" wrapText="1"/>
    </xf>
    <xf numFmtId="2" fontId="2" fillId="0" borderId="1" xfId="3" applyNumberFormat="1" applyFont="1" applyFill="1" applyBorder="1" applyAlignment="1">
      <alignment horizontal="right" wrapText="1"/>
    </xf>
    <xf numFmtId="1" fontId="2" fillId="0" borderId="1" xfId="3" applyNumberFormat="1" applyFont="1" applyFill="1" applyBorder="1" applyAlignment="1">
      <alignment horizontal="right" wrapText="1"/>
    </xf>
    <xf numFmtId="1" fontId="2" fillId="0" borderId="1" xfId="0" applyNumberFormat="1" applyFont="1" applyFill="1" applyBorder="1" applyAlignment="1">
      <alignment horizontal="right" wrapText="1"/>
    </xf>
    <xf numFmtId="165" fontId="2" fillId="0" borderId="1" xfId="3" applyNumberFormat="1" applyFont="1" applyFill="1" applyBorder="1" applyAlignment="1">
      <alignment horizontal="right" wrapText="1"/>
    </xf>
    <xf numFmtId="2" fontId="2" fillId="0" borderId="1" xfId="0" applyNumberFormat="1" applyFont="1" applyFill="1" applyBorder="1" applyAlignment="1">
      <alignment horizontal="right" wrapText="1"/>
    </xf>
    <xf numFmtId="3" fontId="2" fillId="0" borderId="1" xfId="0" applyNumberFormat="1" applyFont="1" applyFill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2" fontId="2" fillId="0" borderId="0" xfId="3" applyNumberFormat="1" applyFont="1" applyFill="1" applyBorder="1" applyAlignment="1">
      <alignment horizontal="right" wrapText="1"/>
    </xf>
    <xf numFmtId="1" fontId="11" fillId="0" borderId="10" xfId="0" applyNumberFormat="1" applyFont="1" applyFill="1" applyBorder="1" applyAlignment="1">
      <alignment horizontal="right" shrinkToFit="1"/>
    </xf>
    <xf numFmtId="0" fontId="2" fillId="0" borderId="1" xfId="0" applyFont="1" applyBorder="1" applyAlignment="1">
      <alignment horizontal="right"/>
    </xf>
    <xf numFmtId="2" fontId="11" fillId="0" borderId="1" xfId="15" applyNumberFormat="1" applyFont="1" applyFill="1" applyBorder="1" applyAlignment="1" applyProtection="1">
      <alignment horizontal="right"/>
    </xf>
    <xf numFmtId="2" fontId="2" fillId="0" borderId="1" xfId="15" applyNumberFormat="1" applyFont="1" applyFill="1" applyBorder="1" applyAlignment="1" applyProtection="1">
      <alignment horizontal="right" shrinkToFit="1"/>
    </xf>
    <xf numFmtId="2" fontId="2" fillId="0" borderId="1" xfId="15" applyNumberFormat="1" applyFont="1" applyFill="1" applyBorder="1" applyAlignment="1" applyProtection="1">
      <alignment horizontal="right"/>
    </xf>
    <xf numFmtId="49" fontId="4" fillId="4" borderId="1" xfId="0" applyNumberFormat="1" applyFont="1" applyFill="1" applyBorder="1" applyAlignment="1">
      <alignment horizontal="left" wrapText="1"/>
    </xf>
    <xf numFmtId="2" fontId="2" fillId="0" borderId="1" xfId="12" applyNumberFormat="1" applyFont="1" applyFill="1" applyBorder="1" applyAlignment="1" applyProtection="1">
      <alignment horizontal="right"/>
      <protection locked="0"/>
    </xf>
    <xf numFmtId="2" fontId="2" fillId="0" borderId="1" xfId="12" applyNumberFormat="1" applyFont="1" applyFill="1" applyBorder="1" applyAlignment="1" applyProtection="1">
      <alignment horizontal="right"/>
    </xf>
    <xf numFmtId="2" fontId="0" fillId="0" borderId="1" xfId="0" applyNumberFormat="1" applyBorder="1" applyAlignment="1">
      <alignment horizontal="right"/>
    </xf>
    <xf numFmtId="2" fontId="2" fillId="0" borderId="1" xfId="17" applyNumberFormat="1" applyFont="1" applyFill="1" applyBorder="1" applyAlignment="1" applyProtection="1">
      <alignment horizontal="right"/>
      <protection locked="0"/>
    </xf>
    <xf numFmtId="2" fontId="2" fillId="0" borderId="1" xfId="3" applyNumberFormat="1" applyFont="1" applyFill="1" applyBorder="1" applyAlignment="1">
      <alignment horizontal="right"/>
    </xf>
    <xf numFmtId="2" fontId="2" fillId="0" borderId="1" xfId="15" applyNumberFormat="1" applyFont="1" applyFill="1" applyBorder="1" applyAlignment="1">
      <alignment horizontal="right"/>
    </xf>
    <xf numFmtId="2" fontId="2" fillId="0" borderId="7" xfId="0" applyNumberFormat="1" applyFont="1" applyFill="1" applyBorder="1" applyAlignment="1">
      <alignment horizontal="right"/>
    </xf>
    <xf numFmtId="0" fontId="8" fillId="0" borderId="19" xfId="5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right"/>
    </xf>
    <xf numFmtId="0" fontId="2" fillId="0" borderId="12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left" wrapText="1"/>
    </xf>
    <xf numFmtId="49" fontId="2" fillId="0" borderId="7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 applyProtection="1">
      <alignment horizontal="right" shrinkToFit="1"/>
    </xf>
    <xf numFmtId="49" fontId="2" fillId="0" borderId="1" xfId="0" applyNumberFormat="1" applyFont="1" applyBorder="1" applyAlignment="1">
      <alignment horizontal="right"/>
    </xf>
    <xf numFmtId="4" fontId="2" fillId="0" borderId="1" xfId="16" applyNumberFormat="1" applyFont="1" applyFill="1" applyBorder="1" applyAlignment="1" applyProtection="1">
      <alignment horizontal="right" shrinkToFit="1"/>
    </xf>
    <xf numFmtId="0" fontId="2" fillId="0" borderId="1" xfId="12" applyFont="1" applyFill="1" applyBorder="1" applyAlignment="1" applyProtection="1">
      <alignment horizontal="right" shrinkToFit="1"/>
    </xf>
    <xf numFmtId="0" fontId="2" fillId="0" borderId="1" xfId="0" applyFont="1" applyFill="1" applyBorder="1" applyAlignment="1">
      <alignment horizontal="right" wrapText="1"/>
    </xf>
    <xf numFmtId="4" fontId="2" fillId="0" borderId="1" xfId="3" applyNumberFormat="1" applyFont="1" applyFill="1" applyBorder="1" applyAlignment="1">
      <alignment horizontal="right" shrinkToFit="1"/>
    </xf>
    <xf numFmtId="4" fontId="2" fillId="0" borderId="1" xfId="15" applyNumberFormat="1" applyFont="1" applyFill="1" applyBorder="1" applyAlignment="1" applyProtection="1">
      <alignment horizontal="right" shrinkToFit="1"/>
    </xf>
    <xf numFmtId="165" fontId="2" fillId="0" borderId="1" xfId="0" applyNumberFormat="1" applyFont="1" applyBorder="1" applyAlignment="1">
      <alignment horizontal="right" wrapText="1"/>
    </xf>
    <xf numFmtId="2" fontId="2" fillId="4" borderId="1" xfId="0" applyNumberFormat="1" applyFont="1" applyFill="1" applyBorder="1" applyAlignment="1" applyProtection="1">
      <alignment horizontal="right" wrapText="1"/>
      <protection locked="0"/>
    </xf>
    <xf numFmtId="2" fontId="13" fillId="0" borderId="1" xfId="0" applyNumberFormat="1" applyFont="1" applyBorder="1" applyAlignment="1">
      <alignment horizontal="right" wrapText="1"/>
    </xf>
    <xf numFmtId="2" fontId="2" fillId="4" borderId="1" xfId="0" applyNumberFormat="1" applyFont="1" applyFill="1" applyBorder="1" applyAlignment="1" applyProtection="1">
      <alignment horizontal="right"/>
      <protection locked="0"/>
    </xf>
    <xf numFmtId="0" fontId="13" fillId="0" borderId="1" xfId="0" applyFont="1" applyFill="1" applyBorder="1" applyAlignment="1">
      <alignment horizontal="right" wrapText="1"/>
    </xf>
    <xf numFmtId="2" fontId="13" fillId="0" borderId="1" xfId="0" applyNumberFormat="1" applyFont="1" applyFill="1" applyBorder="1" applyAlignment="1">
      <alignment horizontal="right" wrapText="1"/>
    </xf>
    <xf numFmtId="0" fontId="13" fillId="0" borderId="7" xfId="0" applyFont="1" applyFill="1" applyBorder="1" applyAlignment="1">
      <alignment horizontal="right" wrapText="1"/>
    </xf>
    <xf numFmtId="2" fontId="13" fillId="0" borderId="16" xfId="0" applyNumberFormat="1" applyFont="1" applyBorder="1" applyAlignment="1">
      <alignment horizontal="right" wrapText="1"/>
    </xf>
    <xf numFmtId="0" fontId="13" fillId="0" borderId="1" xfId="0" applyNumberFormat="1" applyFont="1" applyFill="1" applyBorder="1" applyAlignment="1">
      <alignment horizontal="right" wrapText="1"/>
    </xf>
    <xf numFmtId="0" fontId="13" fillId="0" borderId="11" xfId="0" applyFont="1" applyBorder="1" applyAlignment="1">
      <alignment horizontal="right" wrapText="1"/>
    </xf>
    <xf numFmtId="49" fontId="13" fillId="0" borderId="1" xfId="0" applyNumberFormat="1" applyFont="1" applyBorder="1" applyAlignment="1">
      <alignment horizontal="right" wrapText="1"/>
    </xf>
    <xf numFmtId="4" fontId="2" fillId="4" borderId="1" xfId="0" applyNumberFormat="1" applyFont="1" applyFill="1" applyBorder="1" applyAlignment="1" applyProtection="1">
      <alignment horizontal="right" wrapText="1"/>
      <protection locked="0"/>
    </xf>
    <xf numFmtId="0" fontId="21" fillId="4" borderId="11" xfId="0" applyFont="1" applyFill="1" applyBorder="1" applyAlignment="1" applyProtection="1">
      <alignment horizontal="right" wrapText="1"/>
      <protection locked="0"/>
    </xf>
    <xf numFmtId="2" fontId="21" fillId="4" borderId="11" xfId="0" applyNumberFormat="1" applyFont="1" applyFill="1" applyBorder="1" applyAlignment="1" applyProtection="1">
      <alignment horizontal="right" wrapText="1"/>
      <protection locked="0"/>
    </xf>
    <xf numFmtId="4" fontId="2" fillId="4" borderId="8" xfId="0" applyNumberFormat="1" applyFont="1" applyFill="1" applyBorder="1" applyAlignment="1" applyProtection="1">
      <alignment horizontal="right" wrapText="1"/>
      <protection locked="0"/>
    </xf>
    <xf numFmtId="49" fontId="13" fillId="0" borderId="11" xfId="0" applyNumberFormat="1" applyFont="1" applyBorder="1" applyAlignment="1">
      <alignment horizontal="right" wrapText="1"/>
    </xf>
    <xf numFmtId="0" fontId="21" fillId="4" borderId="1" xfId="0" applyFont="1" applyFill="1" applyBorder="1" applyAlignment="1" applyProtection="1">
      <alignment horizontal="right" wrapText="1"/>
      <protection locked="0"/>
    </xf>
    <xf numFmtId="2" fontId="21" fillId="4" borderId="1" xfId="0" applyNumberFormat="1" applyFont="1" applyFill="1" applyBorder="1" applyAlignment="1" applyProtection="1">
      <alignment horizontal="right" wrapText="1"/>
      <protection locked="0"/>
    </xf>
    <xf numFmtId="0" fontId="11" fillId="0" borderId="1" xfId="0" applyFont="1" applyBorder="1" applyAlignment="1">
      <alignment horizontal="right" wrapText="1"/>
    </xf>
    <xf numFmtId="0" fontId="11" fillId="0" borderId="1" xfId="0" applyFont="1" applyFill="1" applyBorder="1" applyAlignment="1">
      <alignment horizontal="right" wrapText="1"/>
    </xf>
    <xf numFmtId="4" fontId="2" fillId="0" borderId="1" xfId="0" applyNumberFormat="1" applyFont="1" applyFill="1" applyBorder="1" applyAlignment="1" applyProtection="1">
      <alignment horizontal="right" wrapText="1"/>
      <protection locked="0"/>
    </xf>
    <xf numFmtId="0" fontId="2" fillId="0" borderId="1" xfId="0" applyFont="1" applyFill="1" applyBorder="1" applyAlignment="1" applyProtection="1">
      <alignment horizontal="right" wrapText="1"/>
      <protection locked="0"/>
    </xf>
    <xf numFmtId="49" fontId="2" fillId="0" borderId="1" xfId="0" applyNumberFormat="1" applyFont="1" applyFill="1" applyBorder="1" applyAlignment="1" applyProtection="1">
      <alignment horizontal="right" wrapText="1"/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165" fontId="13" fillId="0" borderId="1" xfId="0" applyNumberFormat="1" applyFont="1" applyFill="1" applyBorder="1" applyAlignment="1">
      <alignment horizontal="right" wrapText="1"/>
    </xf>
    <xf numFmtId="4" fontId="2" fillId="0" borderId="8" xfId="0" applyNumberFormat="1" applyFont="1" applyFill="1" applyBorder="1" applyAlignment="1" applyProtection="1">
      <alignment horizontal="right" wrapText="1"/>
      <protection locked="0"/>
    </xf>
    <xf numFmtId="2" fontId="2" fillId="0" borderId="15" xfId="0" applyNumberFormat="1" applyFont="1" applyFill="1" applyBorder="1" applyAlignment="1">
      <alignment horizontal="right" wrapText="1"/>
    </xf>
    <xf numFmtId="2" fontId="2" fillId="0" borderId="9" xfId="0" applyNumberFormat="1" applyFont="1" applyFill="1" applyBorder="1" applyAlignment="1">
      <alignment horizontal="right" wrapText="1"/>
    </xf>
    <xf numFmtId="2" fontId="2" fillId="0" borderId="12" xfId="0" applyNumberFormat="1" applyFont="1" applyFill="1" applyBorder="1" applyAlignment="1">
      <alignment horizontal="right" wrapText="1"/>
    </xf>
    <xf numFmtId="0" fontId="4" fillId="0" borderId="1" xfId="3" applyFont="1" applyFill="1" applyBorder="1" applyAlignment="1">
      <alignment horizontal="left" wrapText="1"/>
    </xf>
    <xf numFmtId="166" fontId="2" fillId="0" borderId="1" xfId="11" applyFont="1" applyFill="1" applyBorder="1" applyAlignment="1" applyProtection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1" xfId="12" applyFont="1" applyFill="1" applyBorder="1" applyAlignment="1" applyProtection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2" fillId="0" borderId="1" xfId="15" applyFont="1" applyFill="1" applyBorder="1" applyAlignment="1" applyProtection="1">
      <alignment horizontal="left" wrapText="1"/>
    </xf>
    <xf numFmtId="0" fontId="3" fillId="0" borderId="1" xfId="15" applyFont="1" applyFill="1" applyBorder="1" applyAlignment="1" applyProtection="1">
      <alignment horizontal="left" wrapText="1"/>
    </xf>
    <xf numFmtId="0" fontId="2" fillId="0" borderId="1" xfId="17" applyFont="1" applyFill="1" applyBorder="1" applyAlignment="1" applyProtection="1">
      <alignment horizontal="left" wrapText="1"/>
    </xf>
    <xf numFmtId="0" fontId="3" fillId="0" borderId="1" xfId="17" applyFont="1" applyFill="1" applyBorder="1" applyAlignment="1" applyProtection="1">
      <alignment horizontal="left" wrapText="1"/>
    </xf>
    <xf numFmtId="0" fontId="2" fillId="0" borderId="1" xfId="3" applyFont="1" applyFill="1" applyBorder="1" applyAlignment="1">
      <alignment horizontal="left"/>
    </xf>
    <xf numFmtId="0" fontId="13" fillId="0" borderId="1" xfId="0" applyFont="1" applyBorder="1" applyAlignment="1">
      <alignment horizontal="left" wrapText="1"/>
    </xf>
    <xf numFmtId="0" fontId="2" fillId="0" borderId="1" xfId="0" applyNumberFormat="1" applyFont="1" applyFill="1" applyBorder="1" applyAlignment="1" applyProtection="1">
      <alignment horizontal="left" wrapText="1"/>
      <protection locked="0"/>
    </xf>
    <xf numFmtId="0" fontId="13" fillId="0" borderId="1" xfId="0" applyFont="1" applyFill="1" applyBorder="1" applyAlignment="1">
      <alignment horizontal="left" wrapText="1"/>
    </xf>
    <xf numFmtId="0" fontId="23" fillId="0" borderId="1" xfId="0" applyFont="1" applyBorder="1" applyAlignment="1">
      <alignment horizontal="left" wrapText="1"/>
    </xf>
    <xf numFmtId="0" fontId="21" fillId="4" borderId="11" xfId="0" applyFont="1" applyFill="1" applyBorder="1" applyAlignment="1" applyProtection="1">
      <alignment horizontal="left" wrapText="1"/>
      <protection locked="0"/>
    </xf>
    <xf numFmtId="0" fontId="4" fillId="4" borderId="11" xfId="0" applyFont="1" applyFill="1" applyBorder="1" applyAlignment="1" applyProtection="1">
      <alignment horizontal="left" wrapText="1"/>
      <protection locked="0"/>
    </xf>
    <xf numFmtId="0" fontId="22" fillId="0" borderId="1" xfId="0" applyFont="1" applyBorder="1" applyAlignment="1">
      <alignment horizontal="left" wrapText="1"/>
    </xf>
    <xf numFmtId="0" fontId="13" fillId="0" borderId="11" xfId="0" applyFont="1" applyBorder="1" applyAlignment="1">
      <alignment horizontal="left" wrapText="1"/>
    </xf>
    <xf numFmtId="49" fontId="13" fillId="0" borderId="1" xfId="0" applyNumberFormat="1" applyFont="1" applyBorder="1" applyAlignment="1">
      <alignment horizontal="left" wrapText="1"/>
    </xf>
    <xf numFmtId="0" fontId="4" fillId="4" borderId="1" xfId="0" applyFont="1" applyFill="1" applyBorder="1" applyAlignment="1" applyProtection="1">
      <alignment horizontal="left" wrapText="1"/>
      <protection locked="0"/>
    </xf>
    <xf numFmtId="0" fontId="21" fillId="4" borderId="1" xfId="0" applyFont="1" applyFill="1" applyBorder="1" applyAlignment="1" applyProtection="1">
      <alignment horizontal="left" wrapText="1"/>
      <protection locked="0"/>
    </xf>
    <xf numFmtId="49" fontId="13" fillId="0" borderId="1" xfId="0" applyNumberFormat="1" applyFont="1" applyBorder="1" applyAlignment="1" applyProtection="1">
      <alignment horizontal="left" wrapText="1"/>
      <protection locked="0"/>
    </xf>
    <xf numFmtId="49" fontId="13" fillId="0" borderId="1" xfId="0" applyNumberFormat="1" applyFont="1" applyFill="1" applyBorder="1" applyAlignment="1" applyProtection="1">
      <alignment horizontal="left" wrapText="1"/>
      <protection locked="0"/>
    </xf>
    <xf numFmtId="4" fontId="8" fillId="0" borderId="1" xfId="3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horizontal="right" wrapText="1"/>
    </xf>
    <xf numFmtId="4" fontId="2" fillId="0" borderId="1" xfId="0" applyNumberFormat="1" applyFont="1" applyBorder="1" applyAlignment="1">
      <alignment horizontal="right"/>
    </xf>
    <xf numFmtId="0" fontId="14" fillId="0" borderId="1" xfId="0" applyFont="1" applyBorder="1" applyAlignment="1">
      <alignment horizontal="right" wrapText="1"/>
    </xf>
    <xf numFmtId="0" fontId="2" fillId="0" borderId="1" xfId="0" applyFont="1" applyFill="1" applyBorder="1" applyAlignment="1" applyProtection="1">
      <alignment horizontal="right"/>
    </xf>
    <xf numFmtId="4" fontId="2" fillId="0" borderId="1" xfId="12" applyNumberFormat="1" applyFont="1" applyFill="1" applyBorder="1" applyAlignment="1" applyProtection="1">
      <alignment horizontal="right"/>
      <protection locked="0"/>
    </xf>
    <xf numFmtId="4" fontId="2" fillId="0" borderId="1" xfId="12" applyNumberFormat="1" applyFont="1" applyFill="1" applyBorder="1" applyAlignment="1" applyProtection="1">
      <alignment horizontal="right"/>
    </xf>
    <xf numFmtId="2" fontId="2" fillId="4" borderId="1" xfId="0" applyNumberFormat="1" applyFont="1" applyFill="1" applyBorder="1" applyAlignment="1">
      <alignment horizontal="right" wrapText="1"/>
    </xf>
    <xf numFmtId="4" fontId="2" fillId="0" borderId="0" xfId="0" applyNumberFormat="1" applyFont="1" applyFill="1" applyBorder="1" applyAlignment="1">
      <alignment horizontal="right"/>
    </xf>
    <xf numFmtId="4" fontId="11" fillId="0" borderId="9" xfId="0" applyNumberFormat="1" applyFont="1" applyFill="1" applyBorder="1" applyAlignment="1">
      <alignment horizontal="right" shrinkToFit="1"/>
    </xf>
    <xf numFmtId="2" fontId="11" fillId="0" borderId="9" xfId="0" applyNumberFormat="1" applyFont="1" applyFill="1" applyBorder="1" applyAlignment="1">
      <alignment horizontal="right" shrinkToFit="1"/>
    </xf>
    <xf numFmtId="4" fontId="4" fillId="0" borderId="1" xfId="0" applyNumberFormat="1" applyFont="1" applyFill="1" applyBorder="1" applyAlignment="1">
      <alignment horizontal="right"/>
    </xf>
    <xf numFmtId="0" fontId="11" fillId="0" borderId="1" xfId="15" applyFont="1" applyFill="1" applyBorder="1" applyAlignment="1" applyProtection="1">
      <alignment horizontal="right"/>
    </xf>
    <xf numFmtId="168" fontId="2" fillId="0" borderId="1" xfId="18" applyNumberFormat="1" applyFont="1" applyFill="1" applyBorder="1" applyAlignment="1" applyProtection="1">
      <alignment horizontal="right"/>
    </xf>
    <xf numFmtId="0" fontId="2" fillId="0" borderId="1" xfId="15" applyFont="1" applyFill="1" applyBorder="1" applyAlignment="1" applyProtection="1">
      <alignment horizontal="right" shrinkToFit="1"/>
    </xf>
    <xf numFmtId="0" fontId="2" fillId="0" borderId="1" xfId="15" applyFont="1" applyFill="1" applyBorder="1" applyAlignment="1" applyProtection="1">
      <alignment horizontal="right"/>
    </xf>
    <xf numFmtId="49" fontId="2" fillId="4" borderId="1" xfId="0" applyNumberFormat="1" applyFont="1" applyFill="1" applyBorder="1" applyAlignment="1">
      <alignment horizontal="right"/>
    </xf>
    <xf numFmtId="0" fontId="2" fillId="0" borderId="1" xfId="3" applyNumberFormat="1" applyFont="1" applyFill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0" fontId="13" fillId="0" borderId="7" xfId="0" applyFont="1" applyBorder="1" applyAlignment="1">
      <alignment horizontal="right" wrapText="1"/>
    </xf>
    <xf numFmtId="1" fontId="11" fillId="0" borderId="1" xfId="0" applyNumberFormat="1" applyFont="1" applyFill="1" applyBorder="1" applyAlignment="1">
      <alignment horizontal="right" shrinkToFit="1"/>
    </xf>
    <xf numFmtId="2" fontId="11" fillId="0" borderId="1" xfId="0" applyNumberFormat="1" applyFont="1" applyFill="1" applyBorder="1" applyAlignment="1">
      <alignment horizontal="right" shrinkToFit="1"/>
    </xf>
    <xf numFmtId="1" fontId="13" fillId="0" borderId="1" xfId="0" applyNumberFormat="1" applyFont="1" applyFill="1" applyBorder="1" applyAlignment="1">
      <alignment horizontal="right" wrapText="1"/>
    </xf>
    <xf numFmtId="49" fontId="13" fillId="0" borderId="1" xfId="0" applyNumberFormat="1" applyFont="1" applyFill="1" applyBorder="1" applyAlignment="1">
      <alignment horizontal="right" wrapText="1"/>
    </xf>
    <xf numFmtId="165" fontId="13" fillId="0" borderId="11" xfId="0" applyNumberFormat="1" applyFont="1" applyFill="1" applyBorder="1" applyAlignment="1">
      <alignment horizontal="right" wrapText="1"/>
    </xf>
    <xf numFmtId="49" fontId="13" fillId="0" borderId="11" xfId="0" applyNumberFormat="1" applyFont="1" applyFill="1" applyBorder="1" applyAlignment="1">
      <alignment horizontal="right" wrapText="1"/>
    </xf>
    <xf numFmtId="4" fontId="11" fillId="0" borderId="1" xfId="0" applyNumberFormat="1" applyFont="1" applyFill="1" applyBorder="1" applyAlignment="1">
      <alignment horizontal="right" shrinkToFit="1"/>
    </xf>
    <xf numFmtId="0" fontId="11" fillId="0" borderId="14" xfId="15" applyFont="1" applyFill="1" applyBorder="1" applyAlignment="1" applyProtection="1">
      <alignment horizontal="right"/>
    </xf>
    <xf numFmtId="1" fontId="11" fillId="0" borderId="15" xfId="0" applyNumberFormat="1" applyFont="1" applyFill="1" applyBorder="1" applyAlignment="1">
      <alignment horizontal="right" shrinkToFit="1"/>
    </xf>
    <xf numFmtId="4" fontId="11" fillId="0" borderId="15" xfId="0" applyNumberFormat="1" applyFont="1" applyFill="1" applyBorder="1" applyAlignment="1">
      <alignment horizontal="right" shrinkToFit="1"/>
    </xf>
    <xf numFmtId="4" fontId="2" fillId="0" borderId="7" xfId="0" applyNumberFormat="1" applyFont="1" applyFill="1" applyBorder="1" applyAlignment="1">
      <alignment horizontal="right"/>
    </xf>
    <xf numFmtId="0" fontId="11" fillId="0" borderId="13" xfId="15" applyFont="1" applyFill="1" applyBorder="1" applyAlignment="1" applyProtection="1">
      <alignment horizontal="right"/>
    </xf>
    <xf numFmtId="0" fontId="11" fillId="0" borderId="20" xfId="15" applyFont="1" applyFill="1" applyBorder="1" applyAlignment="1" applyProtection="1">
      <alignment horizontal="right"/>
    </xf>
    <xf numFmtId="1" fontId="11" fillId="0" borderId="12" xfId="0" applyNumberFormat="1" applyFont="1" applyFill="1" applyBorder="1" applyAlignment="1">
      <alignment horizontal="right" shrinkToFit="1"/>
    </xf>
    <xf numFmtId="4" fontId="11" fillId="0" borderId="12" xfId="0" applyNumberFormat="1" applyFont="1" applyFill="1" applyBorder="1" applyAlignment="1">
      <alignment horizontal="right" shrinkToFit="1"/>
    </xf>
    <xf numFmtId="4" fontId="2" fillId="0" borderId="11" xfId="0" applyNumberFormat="1" applyFont="1" applyFill="1" applyBorder="1" applyAlignment="1">
      <alignment horizontal="right"/>
    </xf>
    <xf numFmtId="2" fontId="2" fillId="0" borderId="1" xfId="0" applyNumberFormat="1" applyFont="1" applyBorder="1" applyAlignment="1">
      <alignment horizontal="left"/>
    </xf>
    <xf numFmtId="0" fontId="11" fillId="0" borderId="0" xfId="0" applyFont="1" applyAlignment="1">
      <alignment horizontal="left" wrapText="1"/>
    </xf>
    <xf numFmtId="2" fontId="4" fillId="0" borderId="1" xfId="0" applyNumberFormat="1" applyFont="1" applyFill="1" applyBorder="1" applyAlignment="1">
      <alignment horizontal="left"/>
    </xf>
    <xf numFmtId="49" fontId="23" fillId="0" borderId="1" xfId="0" applyNumberFormat="1" applyFont="1" applyBorder="1" applyAlignment="1" applyProtection="1">
      <alignment horizontal="left" wrapText="1"/>
      <protection locked="0"/>
    </xf>
    <xf numFmtId="0" fontId="8" fillId="0" borderId="1" xfId="3" applyFont="1" applyFill="1" applyBorder="1" applyAlignment="1">
      <alignment horizontal="left" wrapText="1"/>
    </xf>
    <xf numFmtId="4" fontId="2" fillId="0" borderId="1" xfId="0" applyNumberFormat="1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2" fontId="4" fillId="0" borderId="0" xfId="0" applyNumberFormat="1" applyFont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4" fontId="2" fillId="0" borderId="1" xfId="3" applyNumberFormat="1" applyFont="1" applyFill="1" applyBorder="1" applyAlignment="1">
      <alignment horizontal="left" wrapText="1"/>
    </xf>
    <xf numFmtId="4" fontId="2" fillId="0" borderId="1" xfId="0" applyNumberFormat="1" applyFont="1" applyFill="1" applyBorder="1" applyAlignment="1" applyProtection="1">
      <alignment horizontal="left" wrapText="1"/>
    </xf>
    <xf numFmtId="0" fontId="13" fillId="0" borderId="1" xfId="0" applyFont="1" applyBorder="1" applyAlignment="1">
      <alignment horizontal="left"/>
    </xf>
    <xf numFmtId="4" fontId="2" fillId="0" borderId="1" xfId="15" applyNumberFormat="1" applyFont="1" applyFill="1" applyBorder="1" applyAlignment="1" applyProtection="1">
      <alignment horizontal="left" wrapText="1"/>
    </xf>
    <xf numFmtId="1" fontId="11" fillId="0" borderId="11" xfId="0" applyNumberFormat="1" applyFont="1" applyFill="1" applyBorder="1" applyAlignment="1">
      <alignment horizontal="right" shrinkToFit="1"/>
    </xf>
    <xf numFmtId="49" fontId="2" fillId="4" borderId="1" xfId="0" applyNumberFormat="1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right"/>
    </xf>
    <xf numFmtId="2" fontId="2" fillId="4" borderId="1" xfId="0" applyNumberFormat="1" applyFont="1" applyFill="1" applyBorder="1" applyAlignment="1">
      <alignment horizontal="right"/>
    </xf>
    <xf numFmtId="0" fontId="2" fillId="4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right" wrapText="1"/>
    </xf>
    <xf numFmtId="0" fontId="14" fillId="4" borderId="1" xfId="0" applyNumberFormat="1" applyFont="1" applyFill="1" applyBorder="1" applyAlignment="1">
      <alignment horizontal="left" wrapText="1"/>
    </xf>
    <xf numFmtId="4" fontId="2" fillId="4" borderId="1" xfId="0" applyNumberFormat="1" applyFont="1" applyFill="1" applyBorder="1" applyAlignment="1">
      <alignment horizontal="right"/>
    </xf>
    <xf numFmtId="0" fontId="11" fillId="4" borderId="1" xfId="0" applyFont="1" applyFill="1" applyBorder="1" applyAlignment="1">
      <alignment horizontal="left" wrapText="1"/>
    </xf>
    <xf numFmtId="2" fontId="2" fillId="4" borderId="1" xfId="3" applyNumberFormat="1" applyFont="1" applyFill="1" applyBorder="1" applyAlignment="1">
      <alignment horizontal="right" wrapText="1"/>
    </xf>
    <xf numFmtId="4" fontId="2" fillId="4" borderId="1" xfId="0" applyNumberFormat="1" applyFont="1" applyFill="1" applyBorder="1" applyAlignment="1">
      <alignment horizontal="left" wrapText="1"/>
    </xf>
    <xf numFmtId="1" fontId="2" fillId="4" borderId="1" xfId="3" applyNumberFormat="1" applyFont="1" applyFill="1" applyBorder="1" applyAlignment="1">
      <alignment horizontal="right" wrapText="1"/>
    </xf>
    <xf numFmtId="0" fontId="8" fillId="0" borderId="21" xfId="5" applyFont="1" applyFill="1" applyBorder="1" applyAlignment="1">
      <alignment horizontal="center" wrapText="1"/>
    </xf>
    <xf numFmtId="0" fontId="2" fillId="0" borderId="7" xfId="3" applyFont="1" applyFill="1" applyBorder="1" applyAlignment="1">
      <alignment horizontal="center" wrapText="1"/>
    </xf>
    <xf numFmtId="2" fontId="8" fillId="0" borderId="8" xfId="3" applyNumberFormat="1" applyFont="1" applyFill="1" applyBorder="1" applyAlignment="1">
      <alignment horizontal="right" wrapText="1"/>
    </xf>
    <xf numFmtId="0" fontId="8" fillId="0" borderId="16" xfId="5" applyFont="1" applyFill="1" applyBorder="1" applyAlignment="1">
      <alignment horizontal="center" wrapText="1"/>
    </xf>
    <xf numFmtId="0" fontId="4" fillId="3" borderId="1" xfId="3" applyFont="1" applyFill="1" applyBorder="1" applyAlignment="1">
      <alignment horizontal="left" wrapText="1"/>
    </xf>
    <xf numFmtId="0" fontId="4" fillId="3" borderId="1" xfId="3" applyFont="1" applyFill="1" applyBorder="1" applyAlignment="1"/>
    <xf numFmtId="0" fontId="8" fillId="4" borderId="1" xfId="5" applyFont="1" applyFill="1" applyBorder="1" applyAlignment="1">
      <alignment horizontal="center" wrapText="1"/>
    </xf>
    <xf numFmtId="2" fontId="11" fillId="4" borderId="1" xfId="0" applyNumberFormat="1" applyFont="1" applyFill="1" applyBorder="1" applyAlignment="1">
      <alignment horizontal="right" shrinkToFit="1"/>
    </xf>
    <xf numFmtId="0" fontId="2" fillId="0" borderId="1" xfId="3" applyFont="1" applyFill="1" applyBorder="1" applyAlignment="1"/>
    <xf numFmtId="0" fontId="2" fillId="4" borderId="1" xfId="3" applyFont="1" applyFill="1" applyBorder="1" applyAlignment="1"/>
    <xf numFmtId="1" fontId="11" fillId="4" borderId="9" xfId="0" applyNumberFormat="1" applyFont="1" applyFill="1" applyBorder="1" applyAlignment="1">
      <alignment shrinkToFit="1"/>
    </xf>
    <xf numFmtId="2" fontId="11" fillId="4" borderId="17" xfId="0" applyNumberFormat="1" applyFont="1" applyFill="1" applyBorder="1" applyAlignment="1">
      <alignment shrinkToFit="1"/>
    </xf>
    <xf numFmtId="1" fontId="11" fillId="4" borderId="9" xfId="0" applyNumberFormat="1" applyFont="1" applyFill="1" applyBorder="1" applyAlignment="1">
      <alignment horizontal="right" vertical="center" shrinkToFit="1"/>
    </xf>
    <xf numFmtId="2" fontId="11" fillId="4" borderId="17" xfId="0" applyNumberFormat="1" applyFont="1" applyFill="1" applyBorder="1" applyAlignment="1">
      <alignment horizontal="right" vertical="center" shrinkToFit="1"/>
    </xf>
    <xf numFmtId="49" fontId="2" fillId="4" borderId="1" xfId="0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left" wrapText="1"/>
    </xf>
    <xf numFmtId="0" fontId="3" fillId="4" borderId="9" xfId="0" applyFont="1" applyFill="1" applyBorder="1" applyAlignment="1">
      <alignment horizontal="left" wrapText="1"/>
    </xf>
    <xf numFmtId="2" fontId="11" fillId="4" borderId="18" xfId="0" applyNumberFormat="1" applyFont="1" applyFill="1" applyBorder="1" applyAlignment="1">
      <alignment horizontal="right" vertical="center" shrinkToFit="1"/>
    </xf>
    <xf numFmtId="1" fontId="11" fillId="4" borderId="9" xfId="0" applyNumberFormat="1" applyFont="1" applyFill="1" applyBorder="1" applyAlignment="1">
      <alignment horizontal="right" shrinkToFit="1"/>
    </xf>
    <xf numFmtId="0" fontId="2" fillId="4" borderId="1" xfId="3" applyFont="1" applyFill="1" applyBorder="1" applyAlignment="1">
      <alignment horizontal="left" wrapText="1"/>
    </xf>
    <xf numFmtId="0" fontId="8" fillId="4" borderId="1" xfId="3" applyFont="1" applyFill="1" applyBorder="1" applyAlignment="1">
      <alignment horizontal="right" wrapText="1"/>
    </xf>
    <xf numFmtId="2" fontId="8" fillId="4" borderId="1" xfId="3" applyNumberFormat="1" applyFont="1" applyFill="1" applyBorder="1" applyAlignment="1">
      <alignment horizontal="right" wrapText="1"/>
    </xf>
    <xf numFmtId="0" fontId="8" fillId="4" borderId="1" xfId="3" applyFont="1" applyFill="1" applyBorder="1" applyAlignment="1">
      <alignment horizontal="left" wrapText="1"/>
    </xf>
    <xf numFmtId="0" fontId="8" fillId="4" borderId="1" xfId="3" applyNumberFormat="1" applyFont="1" applyFill="1" applyBorder="1" applyAlignment="1">
      <alignment horizontal="right" wrapText="1"/>
    </xf>
    <xf numFmtId="4" fontId="8" fillId="4" borderId="1" xfId="3" applyNumberFormat="1" applyFont="1" applyFill="1" applyBorder="1" applyAlignment="1">
      <alignment horizontal="right"/>
    </xf>
    <xf numFmtId="0" fontId="4" fillId="4" borderId="1" xfId="3" applyFont="1" applyFill="1" applyBorder="1" applyAlignment="1">
      <alignment horizontal="left" wrapText="1"/>
    </xf>
    <xf numFmtId="0" fontId="2" fillId="4" borderId="1" xfId="3" applyFont="1" applyFill="1" applyBorder="1" applyAlignment="1">
      <alignment horizontal="right"/>
    </xf>
    <xf numFmtId="0" fontId="26" fillId="4" borderId="13" xfId="0" applyFont="1" applyFill="1" applyBorder="1" applyAlignment="1" applyProtection="1">
      <alignment wrapText="1"/>
    </xf>
    <xf numFmtId="4" fontId="13" fillId="4" borderId="7" xfId="0" applyNumberFormat="1" applyFont="1" applyFill="1" applyBorder="1" applyAlignment="1">
      <alignment horizontal="right" wrapText="1"/>
    </xf>
    <xf numFmtId="4" fontId="2" fillId="4" borderId="1" xfId="0" applyNumberFormat="1" applyFont="1" applyFill="1" applyBorder="1" applyAlignment="1">
      <alignment horizontal="right" wrapText="1"/>
    </xf>
    <xf numFmtId="165" fontId="2" fillId="4" borderId="1" xfId="0" applyNumberFormat="1" applyFont="1" applyFill="1" applyBorder="1" applyAlignment="1">
      <alignment horizontal="right"/>
    </xf>
    <xf numFmtId="4" fontId="2" fillId="4" borderId="7" xfId="0" applyNumberFormat="1" applyFont="1" applyFill="1" applyBorder="1" applyAlignment="1">
      <alignment horizontal="right"/>
    </xf>
    <xf numFmtId="3" fontId="2" fillId="4" borderId="1" xfId="0" applyNumberFormat="1" applyFont="1" applyFill="1" applyBorder="1" applyAlignment="1">
      <alignment horizontal="right"/>
    </xf>
    <xf numFmtId="4" fontId="2" fillId="4" borderId="1" xfId="3" applyNumberFormat="1" applyFont="1" applyFill="1" applyBorder="1" applyAlignment="1">
      <alignment horizontal="right"/>
    </xf>
    <xf numFmtId="49" fontId="4" fillId="3" borderId="1" xfId="0" applyNumberFormat="1" applyFont="1" applyFill="1" applyBorder="1" applyAlignment="1">
      <alignment wrapText="1"/>
    </xf>
    <xf numFmtId="49" fontId="4" fillId="4" borderId="1" xfId="0" applyNumberFormat="1" applyFont="1" applyFill="1" applyBorder="1" applyAlignment="1">
      <alignment wrapText="1"/>
    </xf>
    <xf numFmtId="49" fontId="27" fillId="0" borderId="1" xfId="0" applyNumberFormat="1" applyFont="1" applyBorder="1" applyAlignment="1">
      <alignment vertical="center" wrapText="1"/>
    </xf>
    <xf numFmtId="49" fontId="27" fillId="5" borderId="1" xfId="0" applyNumberFormat="1" applyFont="1" applyFill="1" applyBorder="1" applyAlignment="1">
      <alignment vertical="center" wrapText="1"/>
    </xf>
    <xf numFmtId="49" fontId="28" fillId="4" borderId="1" xfId="0" applyNumberFormat="1" applyFont="1" applyFill="1" applyBorder="1" applyAlignment="1">
      <alignment vertical="center" wrapText="1"/>
    </xf>
    <xf numFmtId="49" fontId="28" fillId="5" borderId="1" xfId="0" applyNumberFormat="1" applyFont="1" applyFill="1" applyBorder="1" applyAlignment="1">
      <alignment vertical="center" wrapText="1"/>
    </xf>
    <xf numFmtId="49" fontId="27" fillId="4" borderId="1" xfId="0" applyNumberFormat="1" applyFont="1" applyFill="1" applyBorder="1" applyAlignment="1">
      <alignment vertical="center" wrapText="1"/>
    </xf>
    <xf numFmtId="49" fontId="29" fillId="0" borderId="1" xfId="0" applyNumberFormat="1" applyFont="1" applyBorder="1" applyAlignment="1">
      <alignment horizontal="center" vertical="center" wrapText="1"/>
    </xf>
    <xf numFmtId="49" fontId="29" fillId="5" borderId="1" xfId="0" applyNumberFormat="1" applyFont="1" applyFill="1" applyBorder="1" applyAlignment="1">
      <alignment horizontal="center" vertical="center" wrapText="1"/>
    </xf>
    <xf numFmtId="49" fontId="30" fillId="4" borderId="1" xfId="0" applyNumberFormat="1" applyFont="1" applyFill="1" applyBorder="1" applyAlignment="1">
      <alignment horizontal="center" vertical="center" wrapText="1"/>
    </xf>
    <xf numFmtId="49" fontId="30" fillId="5" borderId="1" xfId="0" applyNumberFormat="1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wrapText="1"/>
    </xf>
    <xf numFmtId="2" fontId="10" fillId="0" borderId="1" xfId="0" applyNumberFormat="1" applyFont="1" applyFill="1" applyBorder="1" applyAlignment="1">
      <alignment horizontal="right" vertical="center"/>
    </xf>
    <xf numFmtId="2" fontId="10" fillId="0" borderId="1" xfId="0" applyNumberFormat="1" applyFont="1" applyFill="1" applyBorder="1" applyAlignment="1">
      <alignment horizontal="right"/>
    </xf>
    <xf numFmtId="0" fontId="29" fillId="5" borderId="1" xfId="0" applyNumberFormat="1" applyFont="1" applyFill="1" applyBorder="1" applyAlignment="1">
      <alignment horizontal="right" vertical="center" wrapText="1"/>
    </xf>
    <xf numFmtId="4" fontId="29" fillId="5" borderId="1" xfId="0" applyNumberFormat="1" applyFont="1" applyFill="1" applyBorder="1" applyAlignment="1">
      <alignment horizontal="right" vertical="center" wrapText="1"/>
    </xf>
    <xf numFmtId="0" fontId="29" fillId="4" borderId="1" xfId="0" applyNumberFormat="1" applyFont="1" applyFill="1" applyBorder="1" applyAlignment="1">
      <alignment horizontal="right" vertical="center" wrapText="1"/>
    </xf>
    <xf numFmtId="4" fontId="27" fillId="4" borderId="1" xfId="0" applyNumberFormat="1" applyFont="1" applyFill="1" applyBorder="1" applyAlignment="1">
      <alignment horizontal="right" vertical="center" wrapText="1"/>
    </xf>
    <xf numFmtId="4" fontId="27" fillId="5" borderId="1" xfId="0" applyNumberFormat="1" applyFont="1" applyFill="1" applyBorder="1" applyAlignment="1">
      <alignment horizontal="right" vertical="center" wrapText="1"/>
    </xf>
    <xf numFmtId="4" fontId="29" fillId="4" borderId="2" xfId="0" applyNumberFormat="1" applyFont="1" applyFill="1" applyBorder="1" applyAlignment="1">
      <alignment horizontal="right" vertical="center" wrapText="1"/>
    </xf>
    <xf numFmtId="4" fontId="29" fillId="5" borderId="2" xfId="0" applyNumberFormat="1" applyFont="1" applyFill="1" applyBorder="1" applyAlignment="1">
      <alignment horizontal="right" vertical="center" wrapText="1"/>
    </xf>
    <xf numFmtId="0" fontId="29" fillId="5" borderId="1" xfId="0" applyNumberFormat="1" applyFont="1" applyFill="1" applyBorder="1" applyAlignment="1">
      <alignment horizontal="right" wrapText="1"/>
    </xf>
    <xf numFmtId="4" fontId="29" fillId="5" borderId="1" xfId="0" applyNumberFormat="1" applyFont="1" applyFill="1" applyBorder="1" applyAlignment="1">
      <alignment horizontal="right" wrapText="1"/>
    </xf>
    <xf numFmtId="0" fontId="29" fillId="4" borderId="1" xfId="0" applyNumberFormat="1" applyFont="1" applyFill="1" applyBorder="1" applyAlignment="1">
      <alignment horizontal="right" wrapText="1"/>
    </xf>
    <xf numFmtId="4" fontId="27" fillId="4" borderId="1" xfId="0" applyNumberFormat="1" applyFont="1" applyFill="1" applyBorder="1" applyAlignment="1">
      <alignment horizontal="right" wrapText="1"/>
    </xf>
    <xf numFmtId="4" fontId="27" fillId="5" borderId="1" xfId="0" applyNumberFormat="1" applyFont="1" applyFill="1" applyBorder="1" applyAlignment="1">
      <alignment horizontal="right" wrapText="1"/>
    </xf>
    <xf numFmtId="4" fontId="29" fillId="4" borderId="2" xfId="0" applyNumberFormat="1" applyFont="1" applyFill="1" applyBorder="1" applyAlignment="1">
      <alignment horizontal="right" wrapText="1"/>
    </xf>
    <xf numFmtId="4" fontId="29" fillId="5" borderId="2" xfId="0" applyNumberFormat="1" applyFont="1" applyFill="1" applyBorder="1" applyAlignment="1">
      <alignment horizontal="right" wrapText="1"/>
    </xf>
    <xf numFmtId="0" fontId="29" fillId="0" borderId="1" xfId="0" applyNumberFormat="1" applyFont="1" applyBorder="1" applyAlignment="1">
      <alignment horizontal="right" wrapText="1"/>
    </xf>
    <xf numFmtId="4" fontId="29" fillId="0" borderId="2" xfId="0" applyNumberFormat="1" applyFont="1" applyBorder="1" applyAlignment="1">
      <alignment horizontal="right" wrapText="1"/>
    </xf>
    <xf numFmtId="0" fontId="2" fillId="0" borderId="0" xfId="3" applyFont="1" applyFill="1" applyAlignment="1">
      <alignment horizontal="right"/>
    </xf>
    <xf numFmtId="164" fontId="0" fillId="0" borderId="0" xfId="0" applyNumberFormat="1"/>
    <xf numFmtId="0" fontId="0" fillId="0" borderId="0" xfId="0" applyAlignment="1">
      <alignment wrapText="1"/>
    </xf>
    <xf numFmtId="43" fontId="0" fillId="0" borderId="0" xfId="19" applyFont="1"/>
    <xf numFmtId="169" fontId="0" fillId="0" borderId="0" xfId="0" applyNumberFormat="1"/>
    <xf numFmtId="0" fontId="0" fillId="6" borderId="0" xfId="0" applyFill="1"/>
    <xf numFmtId="0" fontId="2" fillId="0" borderId="1" xfId="3" applyFont="1" applyFill="1" applyBorder="1" applyAlignment="1">
      <alignment horizontal="left" wrapText="1"/>
    </xf>
    <xf numFmtId="0" fontId="2" fillId="0" borderId="1" xfId="3" applyFont="1" applyFill="1" applyBorder="1" applyAlignment="1">
      <alignment horizontal="right" wrapText="1"/>
    </xf>
    <xf numFmtId="2" fontId="2" fillId="0" borderId="1" xfId="3" applyNumberFormat="1" applyFont="1" applyBorder="1" applyAlignment="1">
      <alignment horizontal="right" wrapText="1"/>
    </xf>
    <xf numFmtId="0" fontId="2" fillId="0" borderId="1" xfId="3" applyFont="1" applyBorder="1" applyAlignment="1">
      <alignment horizontal="left" wrapText="1"/>
    </xf>
    <xf numFmtId="0" fontId="2" fillId="0" borderId="1" xfId="3" applyFont="1" applyBorder="1" applyAlignment="1">
      <alignment horizontal="right" wrapText="1"/>
    </xf>
    <xf numFmtId="0" fontId="8" fillId="0" borderId="6" xfId="5" applyFont="1" applyBorder="1" applyAlignment="1">
      <alignment horizontal="center" wrapText="1"/>
    </xf>
    <xf numFmtId="1" fontId="11" fillId="0" borderId="1" xfId="0" applyNumberFormat="1" applyFont="1" applyBorder="1" applyAlignment="1">
      <alignment horizontal="right" shrinkToFit="1"/>
    </xf>
    <xf numFmtId="2" fontId="11" fillId="0" borderId="1" xfId="0" applyNumberFormat="1" applyFont="1" applyBorder="1" applyAlignment="1">
      <alignment horizontal="right" shrinkToFit="1"/>
    </xf>
    <xf numFmtId="4" fontId="4" fillId="0" borderId="1" xfId="0" applyNumberFormat="1" applyFont="1" applyBorder="1" applyAlignment="1">
      <alignment horizontal="right"/>
    </xf>
    <xf numFmtId="2" fontId="2" fillId="0" borderId="1" xfId="9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left" vertical="top" wrapText="1"/>
    </xf>
    <xf numFmtId="1" fontId="11" fillId="0" borderId="9" xfId="0" applyNumberFormat="1" applyFont="1" applyBorder="1" applyAlignment="1">
      <alignment horizontal="right" shrinkToFit="1"/>
    </xf>
    <xf numFmtId="2" fontId="24" fillId="0" borderId="17" xfId="0" applyNumberFormat="1" applyFont="1" applyBorder="1" applyAlignment="1">
      <alignment horizontal="right" shrinkToFit="1"/>
    </xf>
    <xf numFmtId="4" fontId="25" fillId="0" borderId="1" xfId="0" applyNumberFormat="1" applyFont="1" applyBorder="1" applyAlignment="1">
      <alignment horizontal="right"/>
    </xf>
    <xf numFmtId="0" fontId="2" fillId="0" borderId="0" xfId="0" applyFont="1" applyAlignment="1">
      <alignment wrapText="1"/>
    </xf>
    <xf numFmtId="0" fontId="0" fillId="4" borderId="0" xfId="0" applyFill="1"/>
    <xf numFmtId="2" fontId="2" fillId="0" borderId="22" xfId="9" applyNumberFormat="1" applyFont="1" applyBorder="1" applyAlignment="1">
      <alignment horizontal="center" wrapText="1"/>
    </xf>
    <xf numFmtId="0" fontId="32" fillId="0" borderId="0" xfId="0" applyFont="1"/>
    <xf numFmtId="0" fontId="33" fillId="0" borderId="0" xfId="0" applyFont="1"/>
    <xf numFmtId="0" fontId="0" fillId="4" borderId="1" xfId="0" applyFill="1" applyBorder="1"/>
    <xf numFmtId="2" fontId="11" fillId="0" borderId="17" xfId="0" applyNumberFormat="1" applyFont="1" applyBorder="1" applyAlignment="1">
      <alignment horizontal="right" shrinkToFit="1"/>
    </xf>
    <xf numFmtId="0" fontId="2" fillId="0" borderId="9" xfId="0" applyFont="1" applyBorder="1" applyAlignment="1">
      <alignment horizontal="left" wrapText="1"/>
    </xf>
    <xf numFmtId="2" fontId="11" fillId="0" borderId="18" xfId="0" applyNumberFormat="1" applyFont="1" applyBorder="1" applyAlignment="1">
      <alignment horizontal="right" shrinkToFit="1"/>
    </xf>
    <xf numFmtId="2" fontId="2" fillId="6" borderId="1" xfId="9" applyNumberFormat="1" applyFont="1" applyFill="1" applyBorder="1" applyAlignment="1">
      <alignment horizontal="left"/>
    </xf>
    <xf numFmtId="9" fontId="0" fillId="7" borderId="0" xfId="0" applyNumberFormat="1" applyFill="1"/>
    <xf numFmtId="0" fontId="25" fillId="0" borderId="0" xfId="0" applyFont="1"/>
    <xf numFmtId="0" fontId="7" fillId="0" borderId="1" xfId="3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left" wrapText="1"/>
    </xf>
    <xf numFmtId="0" fontId="2" fillId="0" borderId="1" xfId="3" applyFont="1" applyFill="1" applyBorder="1" applyAlignment="1">
      <alignment horizontal="right" wrapText="1"/>
    </xf>
    <xf numFmtId="2" fontId="4" fillId="3" borderId="1" xfId="3" applyNumberFormat="1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vertical="center"/>
    </xf>
    <xf numFmtId="0" fontId="7" fillId="0" borderId="1" xfId="3" applyFont="1" applyBorder="1" applyAlignment="1">
      <alignment horizontal="center" vertical="center" wrapText="1"/>
    </xf>
    <xf numFmtId="0" fontId="2" fillId="0" borderId="4" xfId="3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0" fontId="2" fillId="0" borderId="1" xfId="3" applyFont="1" applyBorder="1" applyAlignment="1">
      <alignment horizontal="left" wrapText="1"/>
    </xf>
    <xf numFmtId="0" fontId="2" fillId="0" borderId="1" xfId="3" applyFont="1" applyBorder="1" applyAlignment="1">
      <alignment horizontal="right" wrapText="1"/>
    </xf>
  </cellXfs>
  <cellStyles count="20">
    <cellStyle name="Comma" xfId="19" builtinId="3"/>
    <cellStyle name="Excel Built-in Normal" xfId="11" xr:uid="{00000000-0005-0000-0000-000001000000}"/>
    <cellStyle name="Excel Built-in Normal 2" xfId="18" xr:uid="{00000000-0005-0000-0000-000002000000}"/>
    <cellStyle name="Normal" xfId="0" builtinId="0"/>
    <cellStyle name="Normal 3" xfId="12" xr:uid="{00000000-0005-0000-0000-000004000000}"/>
    <cellStyle name="Normal 3 108" xfId="17" xr:uid="{00000000-0005-0000-0000-000005000000}"/>
    <cellStyle name="Гиперссылка 2" xfId="1" xr:uid="{00000000-0005-0000-0000-000006000000}"/>
    <cellStyle name="Обычный 2" xfId="2" xr:uid="{00000000-0005-0000-0000-000007000000}"/>
    <cellStyle name="Обычный 2 2" xfId="6" xr:uid="{00000000-0005-0000-0000-000008000000}"/>
    <cellStyle name="Обычный 2 2 2" xfId="16" xr:uid="{00000000-0005-0000-0000-000009000000}"/>
    <cellStyle name="Обычный 2_Смета ремонт Фастов - вариант Рим-Строй  изм последняя" xfId="10" xr:uid="{00000000-0005-0000-0000-00000A000000}"/>
    <cellStyle name="Обычный 3" xfId="3" xr:uid="{00000000-0005-0000-0000-00000B000000}"/>
    <cellStyle name="Обычный 3 2" xfId="7" xr:uid="{00000000-0005-0000-0000-00000C000000}"/>
    <cellStyle name="Обычный 4" xfId="8" xr:uid="{00000000-0005-0000-0000-00000D000000}"/>
    <cellStyle name="Обычный 6" xfId="15" xr:uid="{00000000-0005-0000-0000-00000E000000}"/>
    <cellStyle name="Обычный_Берлинского" xfId="4" xr:uid="{00000000-0005-0000-0000-00000F000000}"/>
    <cellStyle name="Обычный_Бланк смета" xfId="9" xr:uid="{00000000-0005-0000-0000-000010000000}"/>
    <cellStyle name="Обычный_Голосеевская" xfId="5" xr:uid="{00000000-0005-0000-0000-000011000000}"/>
    <cellStyle name="Процентный 2" xfId="14" xr:uid="{00000000-0005-0000-0000-000012000000}"/>
    <cellStyle name="Стиль 1" xfId="13" xr:uid="{00000000-0005-0000-0000-000013000000}"/>
  </cellStyles>
  <dxfs count="20"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fgColor auto="1"/>
          <bgColor theme="6" tint="0.39994506668294322"/>
        </patternFill>
      </fill>
    </dxf>
    <dxf>
      <fill>
        <patternFill patternType="solid">
          <fgColor auto="1"/>
          <bgColor theme="5" tint="0.39994506668294322"/>
        </patternFill>
      </fill>
    </dxf>
    <dxf>
      <fill>
        <patternFill patternType="solid">
          <fgColor auto="1"/>
          <bgColor theme="6" tint="0.39994506668294322"/>
        </patternFill>
      </fill>
    </dxf>
    <dxf>
      <fill>
        <patternFill patternType="solid">
          <fgColor auto="1"/>
          <bgColor theme="6" tint="0.39994506668294322"/>
        </patternFill>
      </fill>
    </dxf>
    <dxf>
      <fill>
        <patternFill patternType="solid">
          <fgColor auto="1"/>
          <bgColor theme="6" tint="0.39994506668294322"/>
        </patternFill>
      </fill>
    </dxf>
    <dxf>
      <fill>
        <patternFill patternType="solid">
          <fgColor auto="1"/>
          <bgColor theme="5" tint="0.39994506668294322"/>
        </patternFill>
      </fill>
    </dxf>
    <dxf>
      <fill>
        <patternFill patternType="solid">
          <fgColor auto="1"/>
          <bgColor theme="5" tint="0.39994506668294322"/>
        </patternFill>
      </fill>
    </dxf>
    <dxf>
      <fill>
        <patternFill patternType="solid">
          <fgColor auto="1"/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2"/>
  <sheetViews>
    <sheetView tabSelected="1" workbookViewId="0">
      <selection activeCell="C16" sqref="C16"/>
    </sheetView>
  </sheetViews>
  <sheetFormatPr baseColWidth="10" defaultColWidth="8.83203125" defaultRowHeight="13"/>
  <cols>
    <col min="2" max="2" width="41.33203125" customWidth="1"/>
    <col min="3" max="3" width="16.33203125" customWidth="1"/>
    <col min="4" max="4" width="18.1640625" customWidth="1"/>
    <col min="5" max="5" width="18.33203125" customWidth="1"/>
  </cols>
  <sheetData>
    <row r="1" spans="2:6" ht="14">
      <c r="B1" s="254" t="s">
        <v>0</v>
      </c>
      <c r="C1" t="s">
        <v>1</v>
      </c>
      <c r="D1" t="s">
        <v>2</v>
      </c>
      <c r="E1" t="s">
        <v>3</v>
      </c>
      <c r="F1" t="s">
        <v>4</v>
      </c>
    </row>
    <row r="2" spans="2:6" ht="14">
      <c r="B2" s="254" t="s">
        <v>5</v>
      </c>
      <c r="C2" s="253">
        <f>VLOOKUP("Всього роботи",'Монтаж-Демонтаж'!E3:F500,2,0)</f>
        <v>0</v>
      </c>
      <c r="D2" s="253">
        <f>C2*1.2</f>
        <v>0</v>
      </c>
      <c r="E2" s="253">
        <f>VLOOKUP("Всього матеріали",'Монтаж-Демонтаж'!J3:K500,2,0)</f>
        <v>0</v>
      </c>
    </row>
    <row r="3" spans="2:6" ht="14">
      <c r="B3" s="254" t="s">
        <v>6</v>
      </c>
      <c r="C3" s="253">
        <f>VLOOKUP("Всього роботи",'Скляні перегородки, двері'!E3:F500,2,0)</f>
        <v>0</v>
      </c>
      <c r="D3" s="253">
        <f t="shared" ref="D3:D12" si="0">C3*1.2</f>
        <v>0</v>
      </c>
      <c r="E3" s="253">
        <f>VLOOKUP("Всього матеріали",'Скляні перегородки, двері'!J3:K500,2,0)</f>
        <v>0</v>
      </c>
    </row>
    <row r="4" spans="2:6" ht="14">
      <c r="B4" s="254" t="s">
        <v>7</v>
      </c>
      <c r="C4" s="253">
        <f>VLOOKUP("Всього роботи",Стеля!E3:F500,2,0)</f>
        <v>0</v>
      </c>
      <c r="D4" s="253">
        <f t="shared" si="0"/>
        <v>0</v>
      </c>
      <c r="E4" s="253">
        <f>VLOOKUP("Всього матеріали",Стеля!J3:K500,2,0)</f>
        <v>0</v>
      </c>
    </row>
    <row r="5" spans="2:6" ht="14">
      <c r="B5" s="254" t="s">
        <v>8</v>
      </c>
      <c r="C5" s="253">
        <f>VLOOKUP("Всього роботи",Підлога!E3:F499,2,0)</f>
        <v>0</v>
      </c>
      <c r="D5" s="253">
        <f t="shared" si="0"/>
        <v>0</v>
      </c>
      <c r="E5" s="253">
        <f>VLOOKUP("Всього матеріали",Підлога!J3:K499,2,0)</f>
        <v>0</v>
      </c>
    </row>
    <row r="6" spans="2:6" ht="14">
      <c r="B6" s="254" t="s">
        <v>9</v>
      </c>
      <c r="C6" s="253">
        <f>VLOOKUP("Всього роботи",'Сантехнічні роботи'!E3:F500,2,0)</f>
        <v>0</v>
      </c>
      <c r="D6" s="253">
        <f t="shared" si="0"/>
        <v>0</v>
      </c>
      <c r="E6" s="253">
        <f>VLOOKUP("Всього матеріали",'Сантехнічні роботи'!J3:K500,2,0)</f>
        <v>0</v>
      </c>
    </row>
    <row r="7" spans="2:6" ht="14">
      <c r="B7" s="254" t="s">
        <v>10</v>
      </c>
      <c r="C7" s="253">
        <f>VLOOKUP("Всього роботи",ОВіК!E3:F500,2,0)</f>
        <v>0</v>
      </c>
      <c r="D7" s="253">
        <f t="shared" si="0"/>
        <v>0</v>
      </c>
      <c r="E7" s="253">
        <f>VLOOKUP("Всього матеріали",ОВіК!J3:K500,2,0)</f>
        <v>0</v>
      </c>
      <c r="F7" t="s">
        <v>14</v>
      </c>
    </row>
    <row r="8" spans="2:6" ht="14">
      <c r="B8" s="254" t="s">
        <v>11</v>
      </c>
      <c r="C8" s="253">
        <f>VLOOKUP("Всього роботи",'Електромонтажні роботи'!E3:F500,2,0)</f>
        <v>0</v>
      </c>
      <c r="D8" s="253">
        <f t="shared" si="0"/>
        <v>0</v>
      </c>
      <c r="E8" s="253">
        <f>VLOOKUP("Всього матеріали",'Електромонтажні роботи'!J3:K500,2,0)</f>
        <v>0</v>
      </c>
    </row>
    <row r="9" spans="2:6" ht="14">
      <c r="B9" s="254" t="s">
        <v>12</v>
      </c>
      <c r="C9" s="253">
        <f>VLOOKUP("Всього роботи",'Меблі корпусні'!E3:F500,2,0)</f>
        <v>0</v>
      </c>
      <c r="D9" s="253">
        <f t="shared" si="0"/>
        <v>0</v>
      </c>
      <c r="E9" s="253">
        <f>VLOOKUP("Всього матеріали",'Меблі корпусні'!J3:K500,2,0)</f>
        <v>0</v>
      </c>
    </row>
    <row r="10" spans="2:6" ht="14">
      <c r="B10" s="254" t="s">
        <v>13</v>
      </c>
      <c r="C10" s="253">
        <f>VLOOKUP("Всього роботи",'Меблі готові'!E3:F500,2,0)</f>
        <v>0</v>
      </c>
      <c r="D10" s="253">
        <f t="shared" si="0"/>
        <v>0</v>
      </c>
      <c r="E10" s="253">
        <f>VLOOKUP("Всього матеріали",'Меблі готові'!J3:K500,2,0)</f>
        <v>0</v>
      </c>
    </row>
    <row r="11" spans="2:6" ht="14">
      <c r="B11" s="254" t="s">
        <v>15</v>
      </c>
      <c r="C11" s="253">
        <f>VLOOKUP("Всього роботи",СКС!E3:F503,2,0)</f>
        <v>0</v>
      </c>
      <c r="D11" s="253">
        <f t="shared" si="0"/>
        <v>0</v>
      </c>
      <c r="E11" s="253">
        <f>VLOOKUP("Всього матеріали",СКС!J3:K503,2,0)</f>
        <v>89028.079999999987</v>
      </c>
      <c r="F11" t="s">
        <v>14</v>
      </c>
    </row>
    <row r="12" spans="2:6" ht="14">
      <c r="B12" s="254" t="s">
        <v>16</v>
      </c>
      <c r="C12" s="253">
        <f>VLOOKUP("Всього роботи",СПЗ!E3:F500,2,0)</f>
        <v>84461.735808000012</v>
      </c>
      <c r="D12" s="253">
        <f t="shared" si="0"/>
        <v>101354.08296960001</v>
      </c>
      <c r="E12" s="253">
        <f>VLOOKUP("Всього матеріали",СПЗ!J3:K500,2,0)</f>
        <v>152888.84109999999</v>
      </c>
      <c r="F12" t="s">
        <v>17</v>
      </c>
    </row>
    <row r="15" spans="2:6">
      <c r="B15" t="s">
        <v>18</v>
      </c>
      <c r="D15" s="253">
        <f>SUM(D2:D12)</f>
        <v>101354.08296960001</v>
      </c>
      <c r="E15" s="253">
        <f>SUM(E2:E12)</f>
        <v>241916.92109999998</v>
      </c>
    </row>
    <row r="16" spans="2:6">
      <c r="B16" t="s">
        <v>19</v>
      </c>
      <c r="C16" s="282">
        <v>0.3</v>
      </c>
      <c r="D16" s="255">
        <f>D15*0.3</f>
        <v>30406.224890880003</v>
      </c>
    </row>
    <row r="17" spans="2:5">
      <c r="B17" t="s">
        <v>20</v>
      </c>
      <c r="C17" s="282">
        <v>0.1</v>
      </c>
      <c r="E17" s="256">
        <f>E15*0.1</f>
        <v>24191.69211</v>
      </c>
    </row>
    <row r="18" spans="2:5">
      <c r="B18" t="s">
        <v>21</v>
      </c>
      <c r="C18" s="282">
        <v>0.1</v>
      </c>
      <c r="E18" s="256">
        <f>E15*0.1</f>
        <v>24191.69211</v>
      </c>
    </row>
    <row r="19" spans="2:5">
      <c r="B19" s="283" t="s">
        <v>977</v>
      </c>
    </row>
    <row r="20" spans="2:5">
      <c r="B20" t="s">
        <v>22</v>
      </c>
      <c r="D20" s="253">
        <f>SUM(D15:D19)</f>
        <v>131760.30786048001</v>
      </c>
      <c r="E20" s="253">
        <f>SUM(E15:E19)</f>
        <v>290300.30531999998</v>
      </c>
    </row>
    <row r="22" spans="2:5">
      <c r="B22" t="s">
        <v>23</v>
      </c>
      <c r="D22" s="256">
        <f>D20+E20</f>
        <v>422060.61318047997</v>
      </c>
    </row>
  </sheetData>
  <sheetProtection algorithmName="SHA-512" hashValue="mlhjhzT2hhr/3l0szWiEUsAivWR8XKlkC3mwFeOCpbogDNz962ZcCW/2x6nbL1uWOq7f+117c03JI+9cS5n1Fg==" saltValue="DLQ+5UrwfSsVl/cLUzTUdw==" spinCount="100000" sheet="1" objects="1" scenarios="1"/>
  <protectedRanges>
    <protectedRange sqref="C16:C18" name="Range1"/>
  </protectedRange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6"/>
  <sheetViews>
    <sheetView workbookViewId="0">
      <selection activeCell="J9" sqref="J9"/>
    </sheetView>
  </sheetViews>
  <sheetFormatPr baseColWidth="10" defaultColWidth="8.83203125" defaultRowHeight="13"/>
  <cols>
    <col min="2" max="2" width="35.83203125" customWidth="1"/>
    <col min="7" max="7" width="42.33203125" customWidth="1"/>
    <col min="11" max="11" width="18.6640625" customWidth="1"/>
  </cols>
  <sheetData>
    <row r="1" spans="1:12">
      <c r="A1" s="285" t="s">
        <v>24</v>
      </c>
      <c r="B1" s="287" t="s">
        <v>25</v>
      </c>
      <c r="C1" s="288" t="s">
        <v>26</v>
      </c>
      <c r="D1" s="288" t="s">
        <v>27</v>
      </c>
      <c r="E1" s="289" t="s">
        <v>28</v>
      </c>
      <c r="F1" s="289"/>
      <c r="G1" s="290" t="s">
        <v>29</v>
      </c>
      <c r="H1" s="290"/>
      <c r="I1" s="290"/>
      <c r="J1" s="290"/>
      <c r="K1" s="290"/>
      <c r="L1" s="284" t="s">
        <v>30</v>
      </c>
    </row>
    <row r="2" spans="1:12" ht="28">
      <c r="A2" s="286"/>
      <c r="B2" s="287"/>
      <c r="C2" s="288"/>
      <c r="D2" s="288"/>
      <c r="E2" s="40" t="s">
        <v>31</v>
      </c>
      <c r="F2" s="40" t="s">
        <v>32</v>
      </c>
      <c r="G2" s="258" t="s">
        <v>33</v>
      </c>
      <c r="H2" s="259" t="s">
        <v>26</v>
      </c>
      <c r="I2" s="259" t="s">
        <v>27</v>
      </c>
      <c r="J2" s="40" t="s">
        <v>31</v>
      </c>
      <c r="K2" s="40" t="s">
        <v>32</v>
      </c>
      <c r="L2" s="284"/>
    </row>
    <row r="3" spans="1:12" ht="14">
      <c r="A3" s="8"/>
      <c r="B3" s="18" t="s">
        <v>13</v>
      </c>
      <c r="C3" s="62"/>
      <c r="D3" s="21"/>
      <c r="E3" s="22"/>
      <c r="F3" s="22"/>
      <c r="G3" s="106"/>
      <c r="H3" s="21"/>
      <c r="I3" s="145"/>
      <c r="J3" s="146"/>
      <c r="K3" s="4"/>
      <c r="L3" s="19"/>
    </row>
    <row r="4" spans="1:12" ht="14">
      <c r="A4" s="8">
        <v>398</v>
      </c>
      <c r="B4" s="3"/>
      <c r="C4" s="62"/>
      <c r="D4" s="21"/>
      <c r="E4" s="22"/>
      <c r="F4" s="22"/>
      <c r="G4" s="106" t="s">
        <v>839</v>
      </c>
      <c r="H4" s="21" t="s">
        <v>48</v>
      </c>
      <c r="I4" s="145">
        <v>5</v>
      </c>
      <c r="J4" s="146"/>
      <c r="K4" s="4">
        <f>J4*I4</f>
        <v>0</v>
      </c>
      <c r="L4" s="19"/>
    </row>
    <row r="5" spans="1:12" ht="14">
      <c r="A5" s="8">
        <v>399</v>
      </c>
      <c r="B5" s="3"/>
      <c r="C5" s="62"/>
      <c r="D5" s="21"/>
      <c r="E5" s="22"/>
      <c r="F5" s="22"/>
      <c r="G5" s="106" t="s">
        <v>840</v>
      </c>
      <c r="H5" s="21" t="s">
        <v>48</v>
      </c>
      <c r="I5" s="145">
        <v>21</v>
      </c>
      <c r="J5" s="146"/>
      <c r="K5" s="4">
        <f t="shared" ref="K5:K22" si="0">J5*I5</f>
        <v>0</v>
      </c>
      <c r="L5" s="19"/>
    </row>
    <row r="6" spans="1:12" ht="14">
      <c r="A6" s="8">
        <v>400</v>
      </c>
      <c r="B6" s="3"/>
      <c r="C6" s="62"/>
      <c r="D6" s="21"/>
      <c r="E6" s="22"/>
      <c r="F6" s="22"/>
      <c r="G6" s="106" t="s">
        <v>841</v>
      </c>
      <c r="H6" s="21" t="s">
        <v>48</v>
      </c>
      <c r="I6" s="145">
        <v>1</v>
      </c>
      <c r="J6" s="146"/>
      <c r="K6" s="4">
        <f t="shared" si="0"/>
        <v>0</v>
      </c>
      <c r="L6" s="19"/>
    </row>
    <row r="7" spans="1:12" ht="14">
      <c r="A7" s="8">
        <v>401</v>
      </c>
      <c r="B7" s="3"/>
      <c r="C7" s="62"/>
      <c r="D7" s="21"/>
      <c r="E7" s="22"/>
      <c r="F7" s="22"/>
      <c r="G7" s="106" t="s">
        <v>842</v>
      </c>
      <c r="H7" s="21" t="s">
        <v>48</v>
      </c>
      <c r="I7" s="145">
        <v>6</v>
      </c>
      <c r="J7" s="146"/>
      <c r="K7" s="4">
        <f t="shared" si="0"/>
        <v>0</v>
      </c>
      <c r="L7" s="19"/>
    </row>
    <row r="8" spans="1:12" ht="28">
      <c r="A8" s="8">
        <v>402</v>
      </c>
      <c r="B8" s="3"/>
      <c r="C8" s="62"/>
      <c r="D8" s="21"/>
      <c r="E8" s="22"/>
      <c r="F8" s="22"/>
      <c r="G8" s="106" t="s">
        <v>843</v>
      </c>
      <c r="H8" s="21" t="s">
        <v>48</v>
      </c>
      <c r="I8" s="145">
        <v>5</v>
      </c>
      <c r="J8" s="146"/>
      <c r="K8" s="4">
        <f t="shared" si="0"/>
        <v>0</v>
      </c>
      <c r="L8" s="19"/>
    </row>
    <row r="9" spans="1:12" ht="14">
      <c r="A9" s="8">
        <v>403</v>
      </c>
      <c r="B9" s="3"/>
      <c r="C9" s="62"/>
      <c r="D9" s="21"/>
      <c r="E9" s="22"/>
      <c r="F9" s="22"/>
      <c r="G9" s="106" t="s">
        <v>844</v>
      </c>
      <c r="H9" s="21" t="s">
        <v>48</v>
      </c>
      <c r="I9" s="145">
        <v>2</v>
      </c>
      <c r="J9" s="146"/>
      <c r="K9" s="4">
        <f>J9*I9</f>
        <v>0</v>
      </c>
      <c r="L9" s="19"/>
    </row>
    <row r="10" spans="1:12" ht="14">
      <c r="A10" s="8">
        <v>404</v>
      </c>
      <c r="B10" s="3"/>
      <c r="C10" s="62"/>
      <c r="D10" s="21"/>
      <c r="E10" s="22"/>
      <c r="F10" s="22"/>
      <c r="G10" s="106" t="s">
        <v>845</v>
      </c>
      <c r="H10" s="21" t="s">
        <v>48</v>
      </c>
      <c r="I10" s="145">
        <v>31</v>
      </c>
      <c r="J10" s="146"/>
      <c r="K10" s="4">
        <f t="shared" si="0"/>
        <v>0</v>
      </c>
      <c r="L10" s="19"/>
    </row>
    <row r="11" spans="1:12" ht="14">
      <c r="A11" s="8">
        <v>405</v>
      </c>
      <c r="B11" s="3"/>
      <c r="C11" s="62"/>
      <c r="D11" s="21"/>
      <c r="E11" s="22"/>
      <c r="F11" s="22"/>
      <c r="G11" s="106" t="s">
        <v>846</v>
      </c>
      <c r="H11" s="21" t="s">
        <v>48</v>
      </c>
      <c r="I11" s="145">
        <v>20</v>
      </c>
      <c r="J11" s="146"/>
      <c r="K11" s="4">
        <f t="shared" si="0"/>
        <v>0</v>
      </c>
      <c r="L11" s="19"/>
    </row>
    <row r="12" spans="1:12" ht="28">
      <c r="A12" s="8">
        <v>406</v>
      </c>
      <c r="B12" s="3"/>
      <c r="C12" s="62"/>
      <c r="D12" s="21"/>
      <c r="E12" s="22"/>
      <c r="F12" s="22"/>
      <c r="G12" s="106" t="s">
        <v>847</v>
      </c>
      <c r="H12" s="21" t="s">
        <v>48</v>
      </c>
      <c r="I12" s="145">
        <v>3</v>
      </c>
      <c r="J12" s="194"/>
      <c r="K12" s="4">
        <f t="shared" si="0"/>
        <v>0</v>
      </c>
      <c r="L12" s="19"/>
    </row>
    <row r="13" spans="1:12" ht="28">
      <c r="A13" s="8">
        <v>407</v>
      </c>
      <c r="B13" s="3"/>
      <c r="C13" s="62"/>
      <c r="D13" s="21"/>
      <c r="E13" s="22"/>
      <c r="F13" s="22"/>
      <c r="G13" s="106" t="s">
        <v>848</v>
      </c>
      <c r="H13" s="21" t="s">
        <v>48</v>
      </c>
      <c r="I13" s="145">
        <v>6</v>
      </c>
      <c r="J13" s="146"/>
      <c r="K13" s="4">
        <f t="shared" si="0"/>
        <v>0</v>
      </c>
      <c r="L13" s="19"/>
    </row>
    <row r="14" spans="1:12" ht="70">
      <c r="A14" s="8">
        <v>408</v>
      </c>
      <c r="B14" s="3"/>
      <c r="C14" s="62"/>
      <c r="D14" s="21"/>
      <c r="E14" s="22"/>
      <c r="F14" s="22"/>
      <c r="G14" s="106" t="s">
        <v>849</v>
      </c>
      <c r="H14" s="21" t="s">
        <v>48</v>
      </c>
      <c r="I14" s="145">
        <v>2</v>
      </c>
      <c r="J14" s="146"/>
      <c r="K14" s="4">
        <f t="shared" si="0"/>
        <v>0</v>
      </c>
      <c r="L14" s="19"/>
    </row>
    <row r="15" spans="1:12" ht="28">
      <c r="A15" s="8">
        <v>409</v>
      </c>
      <c r="B15" s="3"/>
      <c r="C15" s="62"/>
      <c r="D15" s="21"/>
      <c r="E15" s="22"/>
      <c r="F15" s="22"/>
      <c r="G15" s="106" t="s">
        <v>850</v>
      </c>
      <c r="H15" s="21" t="s">
        <v>48</v>
      </c>
      <c r="I15" s="145">
        <v>9</v>
      </c>
      <c r="J15" s="146"/>
      <c r="K15" s="4">
        <f t="shared" si="0"/>
        <v>0</v>
      </c>
      <c r="L15" s="19"/>
    </row>
    <row r="16" spans="1:12" ht="28">
      <c r="A16" s="8">
        <v>410</v>
      </c>
      <c r="B16" s="3"/>
      <c r="C16" s="62"/>
      <c r="D16" s="21"/>
      <c r="E16" s="22"/>
      <c r="F16" s="22"/>
      <c r="G16" s="106" t="s">
        <v>851</v>
      </c>
      <c r="H16" s="21" t="s">
        <v>48</v>
      </c>
      <c r="I16" s="145">
        <v>4</v>
      </c>
      <c r="J16" s="146"/>
      <c r="K16" s="4">
        <f t="shared" si="0"/>
        <v>0</v>
      </c>
      <c r="L16" s="19"/>
    </row>
    <row r="17" spans="1:12" ht="28">
      <c r="A17" s="8">
        <v>411</v>
      </c>
      <c r="B17" s="3"/>
      <c r="C17" s="62"/>
      <c r="D17" s="21"/>
      <c r="E17" s="22"/>
      <c r="F17" s="22"/>
      <c r="G17" s="106" t="s">
        <v>852</v>
      </c>
      <c r="H17" s="21" t="s">
        <v>48</v>
      </c>
      <c r="I17" s="145">
        <v>4</v>
      </c>
      <c r="J17" s="146"/>
      <c r="K17" s="4">
        <f t="shared" si="0"/>
        <v>0</v>
      </c>
      <c r="L17" s="19"/>
    </row>
    <row r="18" spans="1:12" ht="14">
      <c r="A18" s="8">
        <v>412</v>
      </c>
      <c r="B18" s="3"/>
      <c r="C18" s="62"/>
      <c r="D18" s="21"/>
      <c r="E18" s="22"/>
      <c r="F18" s="22"/>
      <c r="G18" s="106" t="s">
        <v>853</v>
      </c>
      <c r="H18" s="21" t="s">
        <v>48</v>
      </c>
      <c r="I18" s="145">
        <v>2</v>
      </c>
      <c r="J18" s="194"/>
      <c r="K18" s="4">
        <f t="shared" si="0"/>
        <v>0</v>
      </c>
      <c r="L18" s="19"/>
    </row>
    <row r="19" spans="1:12" ht="28">
      <c r="A19" s="8">
        <v>413</v>
      </c>
      <c r="B19" s="3"/>
      <c r="C19" s="62"/>
      <c r="D19" s="21"/>
      <c r="E19" s="22"/>
      <c r="F19" s="22"/>
      <c r="G19" s="106" t="s">
        <v>854</v>
      </c>
      <c r="H19" s="21" t="s">
        <v>48</v>
      </c>
      <c r="I19" s="145">
        <v>1</v>
      </c>
      <c r="J19" s="194"/>
      <c r="K19" s="4">
        <f t="shared" si="0"/>
        <v>0</v>
      </c>
      <c r="L19" s="19"/>
    </row>
    <row r="20" spans="1:12" ht="42">
      <c r="A20" s="8">
        <v>414</v>
      </c>
      <c r="B20" s="3"/>
      <c r="C20" s="62"/>
      <c r="D20" s="21"/>
      <c r="E20" s="22"/>
      <c r="F20" s="22"/>
      <c r="G20" s="106" t="s">
        <v>855</v>
      </c>
      <c r="H20" s="21" t="s">
        <v>48</v>
      </c>
      <c r="I20" s="145">
        <v>1</v>
      </c>
      <c r="J20" s="194"/>
      <c r="K20" s="4">
        <f t="shared" si="0"/>
        <v>0</v>
      </c>
      <c r="L20" s="19"/>
    </row>
    <row r="21" spans="1:12" ht="14">
      <c r="A21" s="8">
        <v>415</v>
      </c>
      <c r="B21" s="3"/>
      <c r="C21" s="62"/>
      <c r="D21" s="21"/>
      <c r="E21" s="22"/>
      <c r="F21" s="22"/>
      <c r="G21" s="106" t="s">
        <v>856</v>
      </c>
      <c r="H21" s="21" t="s">
        <v>48</v>
      </c>
      <c r="I21" s="145">
        <v>1</v>
      </c>
      <c r="J21" s="194"/>
      <c r="K21" s="4">
        <f t="shared" si="0"/>
        <v>0</v>
      </c>
      <c r="L21" s="19"/>
    </row>
    <row r="22" spans="1:12" ht="28">
      <c r="A22" s="8">
        <v>416</v>
      </c>
      <c r="B22" s="3"/>
      <c r="C22" s="62"/>
      <c r="D22" s="21"/>
      <c r="E22" s="22"/>
      <c r="F22" s="22"/>
      <c r="G22" s="106" t="s">
        <v>857</v>
      </c>
      <c r="H22" s="21" t="s">
        <v>48</v>
      </c>
      <c r="I22" s="145">
        <v>1</v>
      </c>
      <c r="J22" s="194"/>
      <c r="K22" s="4">
        <f t="shared" si="0"/>
        <v>0</v>
      </c>
      <c r="L22" s="19"/>
    </row>
    <row r="26" spans="1:12">
      <c r="E26" t="s">
        <v>150</v>
      </c>
      <c r="F26" s="253">
        <f>SUM(F3:F22)</f>
        <v>0</v>
      </c>
      <c r="J26" t="s">
        <v>151</v>
      </c>
      <c r="K26" s="253">
        <f>SUM(K3:K22)</f>
        <v>0</v>
      </c>
    </row>
  </sheetData>
  <sheetProtection algorithmName="SHA-512" hashValue="T8x/kDSWMy3Lo1CFgqMNj0Qyo5SYemAJpLlf/V0GQluDNu90LfSoyQdcxyRbPCK0WlYn8Mgf7EFAVVFAI18HXA==" saltValue="AC5LSiPyEMv1xlWnkV7cRg==" spinCount="100000" sheet="1" objects="1" scenarios="1"/>
  <protectedRanges>
    <protectedRange sqref="J3:J22" name="Materils"/>
  </protectedRanges>
  <mergeCells count="7">
    <mergeCell ref="L1:L2"/>
    <mergeCell ref="A1:A2"/>
    <mergeCell ref="B1:B2"/>
    <mergeCell ref="C1:C2"/>
    <mergeCell ref="D1:D2"/>
    <mergeCell ref="E1:F1"/>
    <mergeCell ref="G1:K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6"/>
  <sheetViews>
    <sheetView topLeftCell="A7" zoomScale="91" zoomScaleNormal="91" workbookViewId="0">
      <selection activeCell="K12" sqref="K12"/>
    </sheetView>
  </sheetViews>
  <sheetFormatPr baseColWidth="10" defaultColWidth="8.83203125" defaultRowHeight="13"/>
  <cols>
    <col min="2" max="2" width="35.83203125" customWidth="1"/>
    <col min="6" max="6" width="14.33203125" customWidth="1"/>
    <col min="7" max="7" width="42.33203125" customWidth="1"/>
    <col min="11" max="11" width="18.6640625" customWidth="1"/>
  </cols>
  <sheetData>
    <row r="1" spans="1:12" ht="13" customHeight="1">
      <c r="A1" s="292" t="s">
        <v>24</v>
      </c>
      <c r="B1" s="294" t="s">
        <v>25</v>
      </c>
      <c r="C1" s="295" t="s">
        <v>26</v>
      </c>
      <c r="D1" s="295" t="s">
        <v>27</v>
      </c>
      <c r="E1" s="289" t="s">
        <v>28</v>
      </c>
      <c r="F1" s="289"/>
      <c r="G1" s="290" t="s">
        <v>29</v>
      </c>
      <c r="H1" s="290"/>
      <c r="I1" s="290"/>
      <c r="J1" s="290"/>
      <c r="K1" s="290"/>
      <c r="L1" s="291" t="s">
        <v>30</v>
      </c>
    </row>
    <row r="2" spans="1:12" ht="29" thickBot="1">
      <c r="A2" s="293"/>
      <c r="B2" s="294"/>
      <c r="C2" s="295"/>
      <c r="D2" s="295"/>
      <c r="E2" s="260" t="s">
        <v>31</v>
      </c>
      <c r="F2" s="260" t="s">
        <v>32</v>
      </c>
      <c r="G2" s="261" t="s">
        <v>33</v>
      </c>
      <c r="H2" s="262" t="s">
        <v>26</v>
      </c>
      <c r="I2" s="262" t="s">
        <v>27</v>
      </c>
      <c r="J2" s="260" t="s">
        <v>31</v>
      </c>
      <c r="K2" s="260" t="s">
        <v>32</v>
      </c>
      <c r="L2" s="291"/>
    </row>
    <row r="3" spans="1:12" ht="14">
      <c r="A3" s="263"/>
      <c r="B3" s="18" t="s">
        <v>859</v>
      </c>
      <c r="C3" s="67"/>
      <c r="D3" s="49"/>
      <c r="E3" s="25"/>
      <c r="F3" s="25"/>
      <c r="G3" s="12"/>
      <c r="H3" s="49"/>
      <c r="I3" s="264"/>
      <c r="J3" s="265"/>
      <c r="K3" s="266"/>
      <c r="L3" s="267"/>
    </row>
    <row r="4" spans="1:12">
      <c r="A4" s="263"/>
      <c r="B4" s="10"/>
      <c r="C4" s="67"/>
      <c r="D4" s="49"/>
      <c r="E4" s="25"/>
      <c r="F4" s="25"/>
      <c r="G4" s="12"/>
      <c r="H4" s="49"/>
      <c r="I4" s="264"/>
      <c r="J4" s="265"/>
      <c r="K4" s="266"/>
      <c r="L4" s="267"/>
    </row>
    <row r="5" spans="1:12" ht="28">
      <c r="A5" s="263">
        <v>417</v>
      </c>
      <c r="B5" s="202" t="s">
        <v>860</v>
      </c>
      <c r="C5" s="141" t="s">
        <v>74</v>
      </c>
      <c r="D5" s="197">
        <v>4270</v>
      </c>
      <c r="E5" s="198"/>
      <c r="F5" s="25">
        <f>E5*D5</f>
        <v>0</v>
      </c>
      <c r="G5" s="268" t="s">
        <v>861</v>
      </c>
      <c r="H5" s="67" t="s">
        <v>74</v>
      </c>
      <c r="I5" s="269">
        <v>4270</v>
      </c>
      <c r="J5" s="270"/>
      <c r="K5" s="271">
        <f>J5*I5</f>
        <v>0</v>
      </c>
    </row>
    <row r="6" spans="1:12" ht="28">
      <c r="A6" s="263">
        <v>418</v>
      </c>
      <c r="B6" s="202" t="s">
        <v>862</v>
      </c>
      <c r="C6" s="141" t="s">
        <v>74</v>
      </c>
      <c r="D6" s="197">
        <v>100</v>
      </c>
      <c r="E6" s="198"/>
      <c r="F6" s="25">
        <f t="shared" ref="F6:F47" si="0">E6*D6</f>
        <v>0</v>
      </c>
      <c r="G6" s="268" t="s">
        <v>863</v>
      </c>
      <c r="H6" s="67" t="s">
        <v>74</v>
      </c>
      <c r="I6" s="269">
        <v>100</v>
      </c>
      <c r="J6" s="270"/>
      <c r="K6" s="271">
        <f t="shared" ref="K6:K50" si="1">J6*I6</f>
        <v>0</v>
      </c>
    </row>
    <row r="7" spans="1:12" ht="28">
      <c r="A7" s="263">
        <v>419</v>
      </c>
      <c r="B7" s="202" t="s">
        <v>862</v>
      </c>
      <c r="C7" s="141" t="s">
        <v>387</v>
      </c>
      <c r="D7" s="197">
        <v>30</v>
      </c>
      <c r="E7" s="198"/>
      <c r="F7" s="25">
        <f t="shared" si="0"/>
        <v>0</v>
      </c>
      <c r="G7" s="268" t="s">
        <v>864</v>
      </c>
      <c r="H7" s="67" t="s">
        <v>48</v>
      </c>
      <c r="I7" s="269">
        <v>2</v>
      </c>
      <c r="J7" s="270"/>
      <c r="K7" s="271">
        <f t="shared" si="1"/>
        <v>0</v>
      </c>
    </row>
    <row r="8" spans="1:12" ht="14">
      <c r="A8" s="263"/>
      <c r="B8" s="202"/>
      <c r="C8" s="141"/>
      <c r="D8" s="197"/>
      <c r="E8" s="198"/>
      <c r="F8" s="25"/>
      <c r="G8" s="268" t="s">
        <v>865</v>
      </c>
      <c r="H8" s="67" t="s">
        <v>48</v>
      </c>
      <c r="I8" s="269">
        <v>1</v>
      </c>
      <c r="J8" s="270"/>
      <c r="K8" s="271">
        <f t="shared" si="1"/>
        <v>0</v>
      </c>
    </row>
    <row r="9" spans="1:12" ht="28">
      <c r="A9" s="263"/>
      <c r="B9" s="202"/>
      <c r="C9" s="141"/>
      <c r="D9" s="197"/>
      <c r="E9" s="198"/>
      <c r="F9" s="25"/>
      <c r="G9" s="272" t="s">
        <v>866</v>
      </c>
      <c r="H9" s="67" t="s">
        <v>48</v>
      </c>
      <c r="I9" s="269">
        <v>1</v>
      </c>
      <c r="J9" s="270"/>
      <c r="K9" s="271">
        <f t="shared" si="1"/>
        <v>0</v>
      </c>
    </row>
    <row r="10" spans="1:12" ht="28">
      <c r="A10" s="263"/>
      <c r="B10" s="202"/>
      <c r="C10" s="141"/>
      <c r="D10" s="197"/>
      <c r="E10" s="198"/>
      <c r="F10" s="25"/>
      <c r="G10" s="268" t="s">
        <v>867</v>
      </c>
      <c r="H10" s="67" t="s">
        <v>48</v>
      </c>
      <c r="I10" s="269">
        <v>2</v>
      </c>
      <c r="J10" s="270"/>
      <c r="K10" s="271">
        <f t="shared" si="1"/>
        <v>0</v>
      </c>
    </row>
    <row r="11" spans="1:12" ht="28">
      <c r="A11" s="263">
        <v>420</v>
      </c>
      <c r="B11" s="202"/>
      <c r="C11" s="141"/>
      <c r="D11" s="197"/>
      <c r="E11" s="198"/>
      <c r="F11" s="25"/>
      <c r="G11" s="268" t="s">
        <v>868</v>
      </c>
      <c r="H11" s="67" t="s">
        <v>48</v>
      </c>
      <c r="I11" s="205">
        <v>10</v>
      </c>
      <c r="J11" s="270">
        <v>32.4</v>
      </c>
      <c r="K11" s="271">
        <f t="shared" si="1"/>
        <v>324</v>
      </c>
      <c r="L11" s="257" t="s">
        <v>858</v>
      </c>
    </row>
    <row r="12" spans="1:12" ht="28">
      <c r="A12" s="263">
        <v>421</v>
      </c>
      <c r="B12" s="202"/>
      <c r="C12" s="141"/>
      <c r="D12" s="197"/>
      <c r="E12" s="198"/>
      <c r="F12" s="25"/>
      <c r="G12" s="268" t="s">
        <v>868</v>
      </c>
      <c r="H12" s="67" t="s">
        <v>48</v>
      </c>
      <c r="I12" s="269">
        <v>20</v>
      </c>
      <c r="J12" s="270">
        <v>45.77</v>
      </c>
      <c r="K12" s="271">
        <f t="shared" si="1"/>
        <v>915.40000000000009</v>
      </c>
      <c r="L12" s="257" t="s">
        <v>858</v>
      </c>
    </row>
    <row r="13" spans="1:12" ht="28">
      <c r="A13" s="263"/>
      <c r="B13" s="202"/>
      <c r="C13" s="141"/>
      <c r="D13" s="197"/>
      <c r="E13" s="198"/>
      <c r="F13" s="25"/>
      <c r="G13" s="268" t="s">
        <v>868</v>
      </c>
      <c r="H13" s="67"/>
      <c r="I13" s="269">
        <v>10</v>
      </c>
      <c r="J13" s="270"/>
      <c r="K13" s="271">
        <f>J13*I13</f>
        <v>0</v>
      </c>
    </row>
    <row r="14" spans="1:12" ht="28">
      <c r="A14" s="263">
        <v>422</v>
      </c>
      <c r="B14" s="202" t="s">
        <v>869</v>
      </c>
      <c r="C14" s="141" t="s">
        <v>387</v>
      </c>
      <c r="D14" s="197">
        <v>102</v>
      </c>
      <c r="E14" s="198"/>
      <c r="F14" s="25">
        <f t="shared" si="0"/>
        <v>0</v>
      </c>
      <c r="G14" s="268"/>
      <c r="H14" s="67"/>
      <c r="I14" s="269"/>
      <c r="J14" s="270"/>
      <c r="K14" s="271"/>
      <c r="L14" s="267"/>
    </row>
    <row r="15" spans="1:12" ht="14">
      <c r="A15" s="263"/>
      <c r="B15" s="202" t="s">
        <v>870</v>
      </c>
      <c r="C15" s="141" t="s">
        <v>387</v>
      </c>
      <c r="D15" s="197">
        <v>102</v>
      </c>
      <c r="E15" s="198"/>
      <c r="F15" s="25">
        <f t="shared" si="0"/>
        <v>0</v>
      </c>
      <c r="G15" s="268"/>
      <c r="H15" s="67"/>
      <c r="I15" s="269"/>
      <c r="J15" s="270"/>
      <c r="K15" s="271"/>
      <c r="L15" s="267"/>
    </row>
    <row r="16" spans="1:12" ht="28">
      <c r="A16" s="263"/>
      <c r="B16" s="202" t="s">
        <v>871</v>
      </c>
      <c r="C16" s="141" t="s">
        <v>387</v>
      </c>
      <c r="D16" s="197">
        <v>51</v>
      </c>
      <c r="E16" s="198"/>
      <c r="F16" s="25">
        <f t="shared" si="0"/>
        <v>0</v>
      </c>
      <c r="G16" s="268"/>
      <c r="H16" s="67"/>
      <c r="I16" s="269"/>
      <c r="J16" s="270"/>
      <c r="K16" s="271"/>
      <c r="L16" s="267"/>
    </row>
    <row r="17" spans="1:12" ht="14">
      <c r="A17" s="263">
        <v>423</v>
      </c>
      <c r="B17" s="202"/>
      <c r="C17" s="141"/>
      <c r="D17" s="197"/>
      <c r="E17" s="198"/>
      <c r="F17" s="25"/>
      <c r="G17" s="254" t="s">
        <v>872</v>
      </c>
      <c r="H17" s="67" t="s">
        <v>48</v>
      </c>
      <c r="I17" s="269">
        <v>4</v>
      </c>
      <c r="J17">
        <v>15210</v>
      </c>
      <c r="K17" s="271">
        <f t="shared" si="1"/>
        <v>60840</v>
      </c>
      <c r="L17" s="257" t="s">
        <v>858</v>
      </c>
    </row>
    <row r="18" spans="1:12" ht="14">
      <c r="A18" s="263"/>
      <c r="B18" s="202"/>
      <c r="C18" s="141"/>
      <c r="D18" s="197"/>
      <c r="E18" s="198"/>
      <c r="F18" s="25"/>
      <c r="G18" s="254" t="s">
        <v>873</v>
      </c>
      <c r="H18" s="67" t="s">
        <v>48</v>
      </c>
      <c r="I18" s="269">
        <v>4</v>
      </c>
      <c r="J18" s="270">
        <v>1232</v>
      </c>
      <c r="K18" s="271">
        <f t="shared" si="1"/>
        <v>4928</v>
      </c>
      <c r="L18" s="257" t="s">
        <v>858</v>
      </c>
    </row>
    <row r="19" spans="1:12" ht="28">
      <c r="A19" s="263">
        <v>424</v>
      </c>
      <c r="B19" s="202"/>
      <c r="C19" s="141"/>
      <c r="D19" s="197"/>
      <c r="E19" s="198"/>
      <c r="F19" s="25"/>
      <c r="G19" s="268" t="s">
        <v>874</v>
      </c>
      <c r="H19" s="67" t="s">
        <v>48</v>
      </c>
      <c r="I19" s="205">
        <v>1</v>
      </c>
      <c r="J19" s="270">
        <v>2878.68</v>
      </c>
      <c r="K19" s="271">
        <f t="shared" si="1"/>
        <v>2878.68</v>
      </c>
      <c r="L19" s="257" t="s">
        <v>858</v>
      </c>
    </row>
    <row r="20" spans="1:12" ht="28">
      <c r="A20" s="263"/>
      <c r="B20" s="202"/>
      <c r="C20" s="141"/>
      <c r="D20" s="197"/>
      <c r="E20" s="198"/>
      <c r="F20" s="25"/>
      <c r="G20" s="268" t="s">
        <v>875</v>
      </c>
      <c r="H20" s="67" t="s">
        <v>48</v>
      </c>
      <c r="I20" s="205">
        <v>5</v>
      </c>
      <c r="J20" s="270">
        <v>248.4</v>
      </c>
      <c r="K20" s="271">
        <f t="shared" si="1"/>
        <v>1242</v>
      </c>
      <c r="L20" s="257" t="s">
        <v>858</v>
      </c>
    </row>
    <row r="21" spans="1:12" ht="28">
      <c r="A21" s="263">
        <v>425</v>
      </c>
      <c r="B21" s="202" t="s">
        <v>876</v>
      </c>
      <c r="C21" s="141" t="s">
        <v>387</v>
      </c>
      <c r="D21" s="197">
        <v>24</v>
      </c>
      <c r="E21" s="198"/>
      <c r="F21" s="25">
        <f t="shared" si="0"/>
        <v>0</v>
      </c>
      <c r="G21" s="268" t="s">
        <v>877</v>
      </c>
      <c r="H21" s="67" t="s">
        <v>48</v>
      </c>
      <c r="I21" s="269">
        <v>24</v>
      </c>
      <c r="J21" s="270"/>
      <c r="K21" s="271">
        <f t="shared" si="1"/>
        <v>0</v>
      </c>
      <c r="L21" s="273"/>
    </row>
    <row r="22" spans="1:12" ht="28">
      <c r="A22" s="263">
        <v>426</v>
      </c>
      <c r="B22" s="202" t="s">
        <v>878</v>
      </c>
      <c r="C22" s="141" t="s">
        <v>387</v>
      </c>
      <c r="D22" s="197">
        <v>24</v>
      </c>
      <c r="E22" s="198"/>
      <c r="F22" s="25">
        <f t="shared" si="0"/>
        <v>0</v>
      </c>
      <c r="G22" s="268"/>
      <c r="H22" s="67"/>
      <c r="I22" s="269"/>
      <c r="J22" s="270"/>
      <c r="K22" s="271"/>
      <c r="L22" s="267"/>
    </row>
    <row r="23" spans="1:12" ht="14">
      <c r="A23" s="263"/>
      <c r="B23" s="202" t="s">
        <v>870</v>
      </c>
      <c r="C23" s="141" t="s">
        <v>387</v>
      </c>
      <c r="D23" s="197">
        <v>24</v>
      </c>
      <c r="E23" s="198"/>
      <c r="F23" s="25">
        <f t="shared" si="0"/>
        <v>0</v>
      </c>
      <c r="G23" s="268"/>
      <c r="H23" s="67"/>
      <c r="I23" s="269"/>
      <c r="J23" s="270"/>
      <c r="K23" s="271"/>
      <c r="L23" s="267"/>
    </row>
    <row r="24" spans="1:12" ht="28">
      <c r="A24" s="263"/>
      <c r="B24" s="202" t="s">
        <v>871</v>
      </c>
      <c r="C24" s="141" t="s">
        <v>387</v>
      </c>
      <c r="D24" s="197">
        <v>12</v>
      </c>
      <c r="E24" s="198"/>
      <c r="F24" s="25">
        <f t="shared" si="0"/>
        <v>0</v>
      </c>
      <c r="G24" s="268"/>
      <c r="H24" s="67"/>
      <c r="I24" s="269"/>
      <c r="J24" s="270"/>
      <c r="K24" s="271"/>
      <c r="L24" s="267"/>
    </row>
    <row r="25" spans="1:12" ht="14">
      <c r="A25" s="263"/>
      <c r="B25" s="202"/>
      <c r="C25" s="141"/>
      <c r="D25" s="197"/>
      <c r="E25" s="198"/>
      <c r="F25" s="25"/>
      <c r="G25" s="268" t="s">
        <v>879</v>
      </c>
      <c r="H25" s="67" t="s">
        <v>48</v>
      </c>
      <c r="I25" s="269">
        <v>24</v>
      </c>
      <c r="J25" s="270"/>
      <c r="K25" s="271">
        <f t="shared" si="1"/>
        <v>0</v>
      </c>
    </row>
    <row r="26" spans="1:12" ht="28">
      <c r="A26" s="263">
        <v>427</v>
      </c>
      <c r="B26" s="202" t="s">
        <v>876</v>
      </c>
      <c r="C26" s="141" t="s">
        <v>387</v>
      </c>
      <c r="D26" s="197">
        <v>39</v>
      </c>
      <c r="E26" s="198"/>
      <c r="F26" s="25">
        <f t="shared" si="0"/>
        <v>0</v>
      </c>
      <c r="G26" s="268" t="s">
        <v>880</v>
      </c>
      <c r="H26" s="67" t="s">
        <v>48</v>
      </c>
      <c r="I26" s="269">
        <v>39</v>
      </c>
      <c r="J26" s="270"/>
      <c r="K26" s="271">
        <f t="shared" si="1"/>
        <v>0</v>
      </c>
    </row>
    <row r="27" spans="1:12" ht="28">
      <c r="A27" s="263">
        <v>428</v>
      </c>
      <c r="B27" s="202" t="s">
        <v>878</v>
      </c>
      <c r="C27" s="141" t="s">
        <v>387</v>
      </c>
      <c r="D27" s="197">
        <v>78</v>
      </c>
      <c r="E27" s="198"/>
      <c r="F27" s="25">
        <f t="shared" si="0"/>
        <v>0</v>
      </c>
      <c r="G27" s="268"/>
      <c r="H27" s="67"/>
      <c r="I27" s="269"/>
      <c r="J27" s="270"/>
      <c r="K27" s="271"/>
      <c r="L27" s="274"/>
    </row>
    <row r="28" spans="1:12" ht="14">
      <c r="A28" s="263"/>
      <c r="B28" s="202" t="s">
        <v>870</v>
      </c>
      <c r="C28" s="141" t="s">
        <v>387</v>
      </c>
      <c r="D28" s="197">
        <v>78</v>
      </c>
      <c r="E28" s="198"/>
      <c r="F28" s="25">
        <f t="shared" si="0"/>
        <v>0</v>
      </c>
      <c r="G28" s="268"/>
      <c r="H28" s="67"/>
      <c r="I28" s="269"/>
      <c r="J28" s="270"/>
      <c r="K28" s="271"/>
      <c r="L28" s="274"/>
    </row>
    <row r="29" spans="1:12" ht="28">
      <c r="A29" s="263"/>
      <c r="B29" s="202" t="s">
        <v>871</v>
      </c>
      <c r="C29" s="141" t="s">
        <v>387</v>
      </c>
      <c r="D29" s="197">
        <v>39</v>
      </c>
      <c r="E29" s="198"/>
      <c r="F29" s="25">
        <f t="shared" si="0"/>
        <v>0</v>
      </c>
      <c r="G29" s="268"/>
      <c r="H29" s="67"/>
      <c r="I29" s="269"/>
      <c r="J29" s="270"/>
      <c r="K29" s="271"/>
      <c r="L29" s="274"/>
    </row>
    <row r="30" spans="1:12" ht="14">
      <c r="A30" s="263"/>
      <c r="B30" s="202"/>
      <c r="C30" s="141"/>
      <c r="D30" s="197"/>
      <c r="E30" s="198"/>
      <c r="F30" s="25"/>
      <c r="G30" s="268" t="s">
        <v>881</v>
      </c>
      <c r="H30" s="67" t="s">
        <v>48</v>
      </c>
      <c r="I30" s="269">
        <v>39</v>
      </c>
      <c r="J30" s="270"/>
      <c r="K30" s="271">
        <f t="shared" si="1"/>
        <v>0</v>
      </c>
    </row>
    <row r="31" spans="1:12" ht="14">
      <c r="A31" s="263">
        <v>429</v>
      </c>
      <c r="B31" s="202" t="s">
        <v>882</v>
      </c>
      <c r="C31" s="141" t="s">
        <v>387</v>
      </c>
      <c r="D31" s="197">
        <v>8</v>
      </c>
      <c r="E31" s="198"/>
      <c r="F31" s="25">
        <f t="shared" si="0"/>
        <v>0</v>
      </c>
      <c r="G31" s="268" t="s">
        <v>883</v>
      </c>
      <c r="H31" s="67" t="s">
        <v>48</v>
      </c>
      <c r="I31" s="269">
        <v>8</v>
      </c>
      <c r="J31" s="270"/>
      <c r="K31" s="271">
        <f t="shared" si="1"/>
        <v>0</v>
      </c>
    </row>
    <row r="32" spans="1:12" ht="14">
      <c r="A32" s="263"/>
      <c r="B32" s="202"/>
      <c r="C32" s="141" t="s">
        <v>387</v>
      </c>
      <c r="D32" s="197"/>
      <c r="E32" s="198"/>
      <c r="F32" s="25">
        <f t="shared" si="0"/>
        <v>0</v>
      </c>
      <c r="G32" s="268" t="s">
        <v>884</v>
      </c>
      <c r="H32" s="67" t="s">
        <v>48</v>
      </c>
      <c r="I32" s="269">
        <v>4</v>
      </c>
      <c r="J32" s="270"/>
      <c r="K32" s="271">
        <f t="shared" si="1"/>
        <v>0</v>
      </c>
    </row>
    <row r="33" spans="1:12">
      <c r="A33" s="263">
        <v>430</v>
      </c>
      <c r="B33" s="202"/>
      <c r="C33" s="141"/>
      <c r="D33" s="197"/>
      <c r="E33" s="198"/>
      <c r="F33" s="25"/>
      <c r="G33" s="275" t="s">
        <v>885</v>
      </c>
      <c r="H33" s="67" t="s">
        <v>48</v>
      </c>
      <c r="I33" s="269">
        <v>1</v>
      </c>
      <c r="J33" s="270">
        <v>1280</v>
      </c>
      <c r="K33" s="271">
        <f t="shared" si="1"/>
        <v>1280</v>
      </c>
      <c r="L33" s="257" t="s">
        <v>858</v>
      </c>
    </row>
    <row r="34" spans="1:12">
      <c r="A34" s="263"/>
      <c r="B34" s="202"/>
      <c r="C34" s="141"/>
      <c r="D34" s="197"/>
      <c r="E34" s="198"/>
      <c r="F34" s="25"/>
      <c r="G34" s="275" t="s">
        <v>886</v>
      </c>
      <c r="H34" s="67" t="s">
        <v>48</v>
      </c>
      <c r="I34" s="269">
        <v>4</v>
      </c>
      <c r="J34" s="270">
        <v>1280</v>
      </c>
      <c r="K34" s="271">
        <f t="shared" si="1"/>
        <v>5120</v>
      </c>
      <c r="L34" s="257" t="s">
        <v>858</v>
      </c>
    </row>
    <row r="35" spans="1:12">
      <c r="A35" s="263"/>
      <c r="B35" s="202"/>
      <c r="C35" s="141"/>
      <c r="D35" s="197"/>
      <c r="E35" s="198"/>
      <c r="F35" s="25"/>
      <c r="G35" s="276" t="s">
        <v>887</v>
      </c>
      <c r="H35" s="67" t="s">
        <v>48</v>
      </c>
      <c r="I35" s="269">
        <v>1</v>
      </c>
      <c r="J35" s="270">
        <v>11500</v>
      </c>
      <c r="K35" s="271">
        <f t="shared" si="1"/>
        <v>11500</v>
      </c>
      <c r="L35" s="257" t="s">
        <v>858</v>
      </c>
    </row>
    <row r="36" spans="1:12" ht="28">
      <c r="A36" s="263">
        <v>431</v>
      </c>
      <c r="B36" s="202" t="s">
        <v>888</v>
      </c>
      <c r="C36" s="141" t="s">
        <v>74</v>
      </c>
      <c r="D36" s="197">
        <v>33</v>
      </c>
      <c r="E36" s="198"/>
      <c r="F36" s="25">
        <f t="shared" si="0"/>
        <v>0</v>
      </c>
      <c r="G36" s="268" t="s">
        <v>889</v>
      </c>
      <c r="H36" s="141" t="s">
        <v>48</v>
      </c>
      <c r="I36" s="269">
        <v>33</v>
      </c>
      <c r="J36" s="270"/>
      <c r="K36" s="271">
        <f t="shared" si="1"/>
        <v>0</v>
      </c>
    </row>
    <row r="37" spans="1:12" ht="28">
      <c r="A37" s="263"/>
      <c r="B37" s="202"/>
      <c r="C37" s="141"/>
      <c r="D37" s="199"/>
      <c r="E37" s="200"/>
      <c r="F37" s="25"/>
      <c r="G37" s="268" t="s">
        <v>890</v>
      </c>
      <c r="H37" s="67" t="s">
        <v>48</v>
      </c>
      <c r="I37" s="269">
        <v>2</v>
      </c>
      <c r="J37" s="270"/>
      <c r="K37" s="271">
        <f t="shared" si="1"/>
        <v>0</v>
      </c>
    </row>
    <row r="38" spans="1:12" ht="28">
      <c r="A38" s="263"/>
      <c r="B38" s="202"/>
      <c r="C38" s="141"/>
      <c r="D38" s="199"/>
      <c r="E38" s="200"/>
      <c r="F38" s="25"/>
      <c r="G38" s="268" t="s">
        <v>891</v>
      </c>
      <c r="H38" s="67" t="s">
        <v>48</v>
      </c>
      <c r="I38" s="269">
        <v>1</v>
      </c>
      <c r="J38" s="270"/>
      <c r="K38" s="271">
        <f t="shared" si="1"/>
        <v>0</v>
      </c>
    </row>
    <row r="39" spans="1:12" ht="28">
      <c r="A39" s="263"/>
      <c r="B39" s="202"/>
      <c r="C39" s="201"/>
      <c r="D39" s="199"/>
      <c r="E39" s="200"/>
      <c r="F39" s="25"/>
      <c r="G39" s="268" t="s">
        <v>892</v>
      </c>
      <c r="H39" s="67" t="s">
        <v>48</v>
      </c>
      <c r="I39" s="269">
        <v>12</v>
      </c>
      <c r="J39" s="270"/>
      <c r="K39" s="271">
        <f t="shared" si="1"/>
        <v>0</v>
      </c>
    </row>
    <row r="40" spans="1:12" ht="14">
      <c r="A40" s="263"/>
      <c r="B40" s="202"/>
      <c r="C40" s="201"/>
      <c r="D40" s="199"/>
      <c r="E40" s="200"/>
      <c r="F40" s="25"/>
      <c r="G40" s="268" t="s">
        <v>893</v>
      </c>
      <c r="H40" s="67" t="s">
        <v>48</v>
      </c>
      <c r="I40" s="269">
        <v>70</v>
      </c>
      <c r="J40" s="270"/>
      <c r="K40" s="271">
        <f t="shared" si="1"/>
        <v>0</v>
      </c>
    </row>
    <row r="41" spans="1:12" ht="14">
      <c r="A41" s="263"/>
      <c r="B41" s="202"/>
      <c r="C41" s="201"/>
      <c r="D41" s="199"/>
      <c r="E41" s="200"/>
      <c r="F41" s="25"/>
      <c r="G41" s="268" t="s">
        <v>894</v>
      </c>
      <c r="H41" s="67" t="s">
        <v>48</v>
      </c>
      <c r="I41" s="269">
        <v>30</v>
      </c>
      <c r="J41" s="270"/>
      <c r="K41" s="271">
        <f t="shared" si="1"/>
        <v>0</v>
      </c>
    </row>
    <row r="42" spans="1:12" ht="14">
      <c r="A42" s="263"/>
      <c r="B42" s="202"/>
      <c r="C42" s="201"/>
      <c r="D42" s="199"/>
      <c r="E42" s="200"/>
      <c r="F42" s="25"/>
      <c r="G42" s="268" t="s">
        <v>895</v>
      </c>
      <c r="H42" s="67" t="s">
        <v>48</v>
      </c>
      <c r="I42" s="269">
        <v>70</v>
      </c>
      <c r="J42" s="270"/>
      <c r="K42" s="271">
        <f t="shared" si="1"/>
        <v>0</v>
      </c>
    </row>
    <row r="43" spans="1:12" ht="14">
      <c r="A43" s="263">
        <v>432</v>
      </c>
      <c r="B43" s="203" t="s">
        <v>896</v>
      </c>
      <c r="C43" s="201"/>
      <c r="D43" s="199"/>
      <c r="E43" s="200"/>
      <c r="F43" s="25"/>
      <c r="G43" s="268" t="s">
        <v>897</v>
      </c>
      <c r="H43" s="67" t="s">
        <v>48</v>
      </c>
      <c r="I43" s="269">
        <v>70</v>
      </c>
      <c r="J43" s="270"/>
      <c r="K43" s="271">
        <f t="shared" si="1"/>
        <v>0</v>
      </c>
    </row>
    <row r="44" spans="1:12" ht="28">
      <c r="A44" s="263"/>
      <c r="B44" s="277" t="s">
        <v>898</v>
      </c>
      <c r="C44" s="141" t="s">
        <v>74</v>
      </c>
      <c r="D44" s="199">
        <v>700</v>
      </c>
      <c r="E44" s="200"/>
      <c r="F44" s="25">
        <f t="shared" si="0"/>
        <v>0</v>
      </c>
      <c r="G44" s="268" t="s">
        <v>899</v>
      </c>
      <c r="H44" s="67" t="s">
        <v>74</v>
      </c>
      <c r="I44" s="269">
        <v>700</v>
      </c>
      <c r="J44" s="270"/>
      <c r="K44" s="271">
        <f t="shared" si="1"/>
        <v>0</v>
      </c>
    </row>
    <row r="45" spans="1:12" ht="28">
      <c r="A45" s="263"/>
      <c r="B45" s="277" t="s">
        <v>898</v>
      </c>
      <c r="C45" s="141" t="s">
        <v>74</v>
      </c>
      <c r="D45" s="199">
        <v>30</v>
      </c>
      <c r="E45" s="200"/>
      <c r="F45" s="25">
        <f t="shared" si="0"/>
        <v>0</v>
      </c>
      <c r="G45" s="268" t="s">
        <v>900</v>
      </c>
      <c r="H45" s="67" t="s">
        <v>74</v>
      </c>
      <c r="I45" s="269">
        <v>30</v>
      </c>
      <c r="J45" s="270"/>
      <c r="K45" s="271">
        <f t="shared" si="1"/>
        <v>0</v>
      </c>
    </row>
    <row r="46" spans="1:12" ht="28">
      <c r="A46" s="263"/>
      <c r="B46" s="202" t="s">
        <v>901</v>
      </c>
      <c r="C46" s="141" t="s">
        <v>74</v>
      </c>
      <c r="D46" s="199">
        <v>50</v>
      </c>
      <c r="E46" s="200"/>
      <c r="F46" s="25">
        <f t="shared" si="0"/>
        <v>0</v>
      </c>
      <c r="G46" s="268" t="s">
        <v>902</v>
      </c>
      <c r="H46" s="67" t="s">
        <v>74</v>
      </c>
      <c r="I46" s="269">
        <v>50</v>
      </c>
      <c r="J46" s="270"/>
      <c r="K46" s="271">
        <f t="shared" si="1"/>
        <v>0</v>
      </c>
    </row>
    <row r="47" spans="1:12" ht="28">
      <c r="A47" s="263"/>
      <c r="B47" s="202" t="s">
        <v>901</v>
      </c>
      <c r="C47" s="141" t="s">
        <v>74</v>
      </c>
      <c r="D47" s="199">
        <v>15</v>
      </c>
      <c r="E47" s="200"/>
      <c r="F47" s="25">
        <f t="shared" si="0"/>
        <v>0</v>
      </c>
      <c r="G47" s="268" t="s">
        <v>903</v>
      </c>
      <c r="H47" s="67" t="s">
        <v>74</v>
      </c>
      <c r="I47" s="269">
        <v>15</v>
      </c>
      <c r="J47" s="270"/>
      <c r="K47" s="271">
        <f t="shared" si="1"/>
        <v>0</v>
      </c>
    </row>
    <row r="48" spans="1:12" ht="14">
      <c r="A48" s="263"/>
      <c r="B48" s="202"/>
      <c r="C48" s="201"/>
      <c r="D48" s="199"/>
      <c r="E48" s="204"/>
      <c r="F48" s="25"/>
      <c r="G48" s="268" t="s">
        <v>904</v>
      </c>
      <c r="H48" s="67" t="s">
        <v>48</v>
      </c>
      <c r="I48" s="269">
        <v>750</v>
      </c>
      <c r="J48" s="270"/>
      <c r="K48" s="271">
        <f t="shared" si="1"/>
        <v>0</v>
      </c>
    </row>
    <row r="49" spans="1:12" ht="14">
      <c r="A49" s="263"/>
      <c r="B49" s="202"/>
      <c r="C49" s="201"/>
      <c r="D49" s="199"/>
      <c r="E49" s="204"/>
      <c r="F49" s="25"/>
      <c r="G49" s="268" t="s">
        <v>905</v>
      </c>
      <c r="H49" s="67" t="s">
        <v>48</v>
      </c>
      <c r="I49" s="269">
        <v>15</v>
      </c>
      <c r="J49" s="270"/>
      <c r="K49" s="271">
        <f t="shared" si="1"/>
        <v>0</v>
      </c>
    </row>
    <row r="50" spans="1:12" ht="14">
      <c r="A50" s="263"/>
      <c r="B50" s="202"/>
      <c r="C50" s="201"/>
      <c r="D50" s="199"/>
      <c r="E50" s="204"/>
      <c r="F50" s="25"/>
      <c r="G50" s="268" t="s">
        <v>906</v>
      </c>
      <c r="H50" s="67" t="s">
        <v>48</v>
      </c>
      <c r="I50" s="269">
        <v>30</v>
      </c>
      <c r="J50" s="270"/>
      <c r="K50" s="271">
        <f t="shared" si="1"/>
        <v>0</v>
      </c>
    </row>
    <row r="51" spans="1:12" ht="14">
      <c r="A51" s="263"/>
      <c r="B51" s="202"/>
      <c r="C51" s="201"/>
      <c r="D51" s="199"/>
      <c r="E51" s="204"/>
      <c r="F51" s="25"/>
      <c r="G51" s="268" t="s">
        <v>907</v>
      </c>
      <c r="H51" s="67" t="s">
        <v>48</v>
      </c>
      <c r="I51" s="269">
        <v>1</v>
      </c>
      <c r="J51" s="278"/>
      <c r="K51" s="127">
        <f>J51*I51</f>
        <v>0</v>
      </c>
    </row>
    <row r="52" spans="1:12">
      <c r="A52" s="263"/>
      <c r="B52" s="279"/>
      <c r="C52" s="67"/>
      <c r="D52" s="269"/>
      <c r="E52" s="280"/>
      <c r="F52" s="25"/>
      <c r="G52" s="279"/>
      <c r="H52" s="67"/>
      <c r="I52" s="269"/>
      <c r="J52" s="278"/>
      <c r="K52" s="127"/>
      <c r="L52" s="267"/>
    </row>
    <row r="56" spans="1:12">
      <c r="E56" t="s">
        <v>150</v>
      </c>
      <c r="F56" s="253">
        <f>SUM(F3:F51)</f>
        <v>0</v>
      </c>
      <c r="J56" t="s">
        <v>151</v>
      </c>
      <c r="K56" s="253">
        <f>SUM(K3:K51)</f>
        <v>89028.079999999987</v>
      </c>
    </row>
  </sheetData>
  <sheetProtection algorithmName="SHA-512" hashValue="D2te5omS42sFABqSEYmGJv8R3YYlrN8prR5pSXsLE54rgHhuwPChxcWuXvJLfvS8sSQJ5U7SlSz6NcE75PKf4A==" saltValue="0/nmts5rD3/dgzyCbjzCgw==" spinCount="100000" sheet="1" objects="1" scenarios="1"/>
  <protectedRanges>
    <protectedRange sqref="J34:J53" name="Range4"/>
    <protectedRange sqref="J3:J9" name="Range2"/>
    <protectedRange sqref="E3:E53" name="Works"/>
    <protectedRange sqref="J23:J30" name="Range3"/>
  </protectedRanges>
  <mergeCells count="7">
    <mergeCell ref="L1:L2"/>
    <mergeCell ref="A1:A2"/>
    <mergeCell ref="B1:B2"/>
    <mergeCell ref="C1:C2"/>
    <mergeCell ref="D1:D2"/>
    <mergeCell ref="E1:F1"/>
    <mergeCell ref="G1:K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71"/>
  <sheetViews>
    <sheetView topLeftCell="A25" workbookViewId="0">
      <selection activeCell="F32" sqref="F32"/>
    </sheetView>
  </sheetViews>
  <sheetFormatPr baseColWidth="10" defaultColWidth="8.83203125" defaultRowHeight="13"/>
  <cols>
    <col min="2" max="2" width="35.83203125" customWidth="1"/>
    <col min="6" max="6" width="14.33203125" customWidth="1"/>
    <col min="7" max="7" width="42.33203125" customWidth="1"/>
    <col min="11" max="11" width="18.6640625" customWidth="1"/>
  </cols>
  <sheetData>
    <row r="1" spans="1:12">
      <c r="A1" s="285" t="s">
        <v>24</v>
      </c>
      <c r="B1" s="287" t="s">
        <v>25</v>
      </c>
      <c r="C1" s="288" t="s">
        <v>26</v>
      </c>
      <c r="D1" s="288" t="s">
        <v>27</v>
      </c>
      <c r="E1" s="289" t="s">
        <v>28</v>
      </c>
      <c r="F1" s="289"/>
      <c r="G1" s="290" t="s">
        <v>29</v>
      </c>
      <c r="H1" s="290"/>
      <c r="I1" s="290"/>
      <c r="J1" s="290"/>
      <c r="K1" s="290"/>
      <c r="L1" s="284" t="s">
        <v>30</v>
      </c>
    </row>
    <row r="2" spans="1:12" ht="28">
      <c r="A2" s="286"/>
      <c r="B2" s="287"/>
      <c r="C2" s="288"/>
      <c r="D2" s="288"/>
      <c r="E2" s="40" t="s">
        <v>31</v>
      </c>
      <c r="F2" s="40" t="s">
        <v>32</v>
      </c>
      <c r="G2" s="258" t="s">
        <v>33</v>
      </c>
      <c r="H2" s="259" t="s">
        <v>26</v>
      </c>
      <c r="I2" s="259" t="s">
        <v>27</v>
      </c>
      <c r="J2" s="40" t="s">
        <v>31</v>
      </c>
      <c r="K2" s="40" t="s">
        <v>32</v>
      </c>
      <c r="L2" s="284"/>
    </row>
    <row r="3" spans="1:12" ht="28">
      <c r="A3" s="8"/>
      <c r="B3" s="221" t="s">
        <v>908</v>
      </c>
      <c r="C3" s="222"/>
      <c r="D3" s="233"/>
      <c r="E3" s="235" t="s">
        <v>909</v>
      </c>
      <c r="F3" s="22"/>
      <c r="G3" s="106"/>
      <c r="H3" s="21"/>
      <c r="I3" s="145"/>
      <c r="J3" s="146"/>
      <c r="K3" s="4"/>
      <c r="L3" s="19"/>
    </row>
    <row r="4" spans="1:12" ht="30">
      <c r="A4" s="8"/>
      <c r="B4" s="3" t="s">
        <v>910</v>
      </c>
      <c r="C4" s="62" t="s">
        <v>387</v>
      </c>
      <c r="D4" s="21">
        <v>41</v>
      </c>
      <c r="E4" s="22">
        <v>342.89400000000001</v>
      </c>
      <c r="F4" s="22">
        <f t="shared" ref="F4:F5" si="0">E4*D4</f>
        <v>14058.654</v>
      </c>
      <c r="G4" s="224" t="s">
        <v>911</v>
      </c>
      <c r="H4" s="229" t="s">
        <v>48</v>
      </c>
      <c r="I4" s="145">
        <v>25</v>
      </c>
      <c r="J4" s="146">
        <v>409.5</v>
      </c>
      <c r="K4" s="4">
        <f t="shared" ref="K4:K17" si="1">J4*I4</f>
        <v>10237.5</v>
      </c>
      <c r="L4" s="19"/>
    </row>
    <row r="5" spans="1:12" ht="30">
      <c r="A5" s="8"/>
      <c r="B5" s="3" t="s">
        <v>912</v>
      </c>
      <c r="C5" s="62" t="s">
        <v>74</v>
      </c>
      <c r="D5" s="21">
        <v>310</v>
      </c>
      <c r="E5" s="22">
        <v>28.257000000000001</v>
      </c>
      <c r="F5" s="22">
        <f t="shared" si="0"/>
        <v>8759.67</v>
      </c>
      <c r="G5" s="225" t="s">
        <v>911</v>
      </c>
      <c r="H5" s="230" t="s">
        <v>48</v>
      </c>
      <c r="I5" s="145">
        <v>2</v>
      </c>
      <c r="J5" s="146">
        <v>409.5</v>
      </c>
      <c r="K5" s="4">
        <f t="shared" si="1"/>
        <v>819</v>
      </c>
      <c r="L5" s="19"/>
    </row>
    <row r="6" spans="1:12" ht="30">
      <c r="A6" s="8"/>
      <c r="B6" s="3"/>
      <c r="C6" s="62"/>
      <c r="D6" s="21"/>
      <c r="E6" s="22"/>
      <c r="F6" s="22"/>
      <c r="G6" s="226" t="s">
        <v>913</v>
      </c>
      <c r="H6" s="231" t="s">
        <v>48</v>
      </c>
      <c r="I6" s="145">
        <v>3</v>
      </c>
      <c r="J6" s="146">
        <v>300.3</v>
      </c>
      <c r="K6" s="4">
        <f t="shared" si="1"/>
        <v>900.90000000000009</v>
      </c>
      <c r="L6" s="19"/>
    </row>
    <row r="7" spans="1:12" ht="15">
      <c r="A7" s="8"/>
      <c r="B7" s="3"/>
      <c r="C7" s="62"/>
      <c r="D7" s="21"/>
      <c r="E7" s="22"/>
      <c r="F7" s="22"/>
      <c r="G7" s="225" t="s">
        <v>914</v>
      </c>
      <c r="H7" s="230" t="s">
        <v>48</v>
      </c>
      <c r="I7" s="145">
        <v>5</v>
      </c>
      <c r="J7" s="146">
        <v>354.64000000000004</v>
      </c>
      <c r="K7" s="4">
        <f t="shared" si="1"/>
        <v>1773.2000000000003</v>
      </c>
      <c r="L7" s="19"/>
    </row>
    <row r="8" spans="1:12" ht="15">
      <c r="A8" s="8"/>
      <c r="B8" s="3"/>
      <c r="C8" s="62"/>
      <c r="D8" s="21"/>
      <c r="E8" s="22"/>
      <c r="F8" s="22"/>
      <c r="G8" s="226" t="s">
        <v>915</v>
      </c>
      <c r="H8" s="231" t="s">
        <v>48</v>
      </c>
      <c r="I8" s="145">
        <v>3</v>
      </c>
      <c r="J8" s="146">
        <v>78.650000000000006</v>
      </c>
      <c r="K8" s="4">
        <f t="shared" si="1"/>
        <v>235.95000000000002</v>
      </c>
      <c r="L8" s="19"/>
    </row>
    <row r="9" spans="1:12" ht="15">
      <c r="A9" s="8"/>
      <c r="B9" s="3"/>
      <c r="C9" s="62"/>
      <c r="D9" s="21"/>
      <c r="E9" s="22"/>
      <c r="F9" s="22"/>
      <c r="G9" s="227" t="s">
        <v>916</v>
      </c>
      <c r="H9" s="232" t="s">
        <v>74</v>
      </c>
      <c r="I9" s="145">
        <v>250</v>
      </c>
      <c r="J9" s="146">
        <v>5.7720000000000011</v>
      </c>
      <c r="K9" s="4">
        <f t="shared" si="1"/>
        <v>1443.0000000000002</v>
      </c>
      <c r="L9" s="19"/>
    </row>
    <row r="10" spans="1:12" ht="30">
      <c r="A10" s="8"/>
      <c r="B10" s="3"/>
      <c r="C10" s="62"/>
      <c r="D10" s="21"/>
      <c r="E10" s="22"/>
      <c r="F10" s="22"/>
      <c r="G10" s="224" t="s">
        <v>917</v>
      </c>
      <c r="H10" s="229" t="s">
        <v>74</v>
      </c>
      <c r="I10" s="145">
        <v>60</v>
      </c>
      <c r="J10" s="146">
        <v>8.4240000000000013</v>
      </c>
      <c r="K10" s="4">
        <f t="shared" si="1"/>
        <v>505.44000000000005</v>
      </c>
      <c r="L10" s="19"/>
    </row>
    <row r="11" spans="1:12" ht="15">
      <c r="A11" s="8"/>
      <c r="B11" s="3"/>
      <c r="C11" s="62"/>
      <c r="D11" s="21"/>
      <c r="E11" s="22"/>
      <c r="F11" s="22"/>
      <c r="G11" s="227" t="s">
        <v>918</v>
      </c>
      <c r="H11" s="232" t="s">
        <v>48</v>
      </c>
      <c r="I11" s="145">
        <v>3</v>
      </c>
      <c r="J11" s="146">
        <v>361.72500000000002</v>
      </c>
      <c r="K11" s="4">
        <f t="shared" si="1"/>
        <v>1085.1750000000002</v>
      </c>
      <c r="L11" s="19"/>
    </row>
    <row r="12" spans="1:12" ht="15">
      <c r="A12" s="8"/>
      <c r="B12" s="3"/>
      <c r="C12" s="62"/>
      <c r="D12" s="21"/>
      <c r="E12" s="22"/>
      <c r="F12" s="22"/>
      <c r="G12" s="224" t="s">
        <v>919</v>
      </c>
      <c r="H12" s="229" t="s">
        <v>920</v>
      </c>
      <c r="I12" s="145">
        <v>1</v>
      </c>
      <c r="J12" s="146">
        <v>308.75</v>
      </c>
      <c r="K12" s="4">
        <f t="shared" si="1"/>
        <v>308.75</v>
      </c>
      <c r="L12" s="19"/>
    </row>
    <row r="13" spans="1:12" ht="15">
      <c r="A13" s="8"/>
      <c r="B13" s="3"/>
      <c r="C13" s="62"/>
      <c r="D13" s="21"/>
      <c r="E13" s="22"/>
      <c r="F13" s="22"/>
      <c r="G13" s="227" t="s">
        <v>921</v>
      </c>
      <c r="H13" s="232" t="s">
        <v>920</v>
      </c>
      <c r="I13" s="145">
        <v>1</v>
      </c>
      <c r="J13" s="146">
        <v>227.5</v>
      </c>
      <c r="K13" s="4">
        <f t="shared" si="1"/>
        <v>227.5</v>
      </c>
      <c r="L13" s="19"/>
    </row>
    <row r="14" spans="1:12" ht="15">
      <c r="A14" s="8"/>
      <c r="B14" s="3"/>
      <c r="C14" s="62"/>
      <c r="D14" s="21"/>
      <c r="E14" s="22"/>
      <c r="F14" s="22"/>
      <c r="G14" s="224" t="s">
        <v>922</v>
      </c>
      <c r="H14" s="229" t="s">
        <v>920</v>
      </c>
      <c r="I14" s="145">
        <v>6</v>
      </c>
      <c r="J14" s="146">
        <v>55.25</v>
      </c>
      <c r="K14" s="4">
        <f t="shared" si="1"/>
        <v>331.5</v>
      </c>
      <c r="L14" s="19"/>
    </row>
    <row r="15" spans="1:12" ht="15">
      <c r="A15" s="8"/>
      <c r="B15" s="3"/>
      <c r="C15" s="62"/>
      <c r="D15" s="21"/>
      <c r="E15" s="22"/>
      <c r="F15" s="22"/>
      <c r="G15" s="227" t="s">
        <v>923</v>
      </c>
      <c r="H15" s="232" t="s">
        <v>920</v>
      </c>
      <c r="I15" s="145">
        <v>5</v>
      </c>
      <c r="J15" s="146">
        <v>60.125</v>
      </c>
      <c r="K15" s="4">
        <f t="shared" si="1"/>
        <v>300.625</v>
      </c>
      <c r="L15" s="19"/>
    </row>
    <row r="16" spans="1:12" ht="15">
      <c r="A16" s="8"/>
      <c r="B16" s="3" t="s">
        <v>924</v>
      </c>
      <c r="C16" s="62" t="s">
        <v>36</v>
      </c>
      <c r="D16" s="21">
        <v>1</v>
      </c>
      <c r="E16" s="22">
        <v>5467.54</v>
      </c>
      <c r="F16" s="22">
        <f t="shared" ref="F16:F17" si="2">E16*D16</f>
        <v>5467.54</v>
      </c>
      <c r="G16" s="224" t="s">
        <v>925</v>
      </c>
      <c r="H16" s="229" t="s">
        <v>74</v>
      </c>
      <c r="I16" s="145">
        <v>25</v>
      </c>
      <c r="J16" s="146">
        <v>22.75</v>
      </c>
      <c r="K16" s="4">
        <f t="shared" si="1"/>
        <v>568.75</v>
      </c>
      <c r="L16" s="19"/>
    </row>
    <row r="17" spans="1:12" ht="15">
      <c r="A17" s="8"/>
      <c r="B17" s="3" t="s">
        <v>926</v>
      </c>
      <c r="C17" s="62" t="s">
        <v>36</v>
      </c>
      <c r="D17" s="21">
        <v>1</v>
      </c>
      <c r="E17" s="22">
        <v>1077.9670000000001</v>
      </c>
      <c r="F17" s="22">
        <f t="shared" si="2"/>
        <v>1077.9670000000001</v>
      </c>
      <c r="G17" s="227" t="s">
        <v>927</v>
      </c>
      <c r="H17" s="232" t="s">
        <v>920</v>
      </c>
      <c r="I17" s="145">
        <v>2</v>
      </c>
      <c r="J17" s="146">
        <v>211.25</v>
      </c>
      <c r="K17" s="4">
        <f t="shared" si="1"/>
        <v>422.5</v>
      </c>
      <c r="L17" s="19"/>
    </row>
    <row r="18" spans="1:12" ht="28">
      <c r="A18" s="8"/>
      <c r="B18" s="18" t="s">
        <v>928</v>
      </c>
      <c r="C18" s="62"/>
      <c r="D18" s="233"/>
      <c r="E18" s="234" t="s">
        <v>909</v>
      </c>
      <c r="F18" s="22"/>
      <c r="G18" s="106"/>
      <c r="H18" s="21"/>
      <c r="I18" s="145"/>
      <c r="J18" s="146"/>
      <c r="K18" s="4"/>
      <c r="L18" s="19"/>
    </row>
    <row r="19" spans="1:12" ht="15">
      <c r="A19" s="8"/>
      <c r="B19" s="3"/>
      <c r="C19" s="62"/>
      <c r="D19" s="21"/>
      <c r="E19" s="22"/>
      <c r="F19" s="22"/>
      <c r="G19" s="224" t="s">
        <v>929</v>
      </c>
      <c r="H19" s="229" t="s">
        <v>48</v>
      </c>
      <c r="I19" s="236">
        <v>1</v>
      </c>
      <c r="J19" s="237">
        <v>4004</v>
      </c>
      <c r="K19" s="4">
        <f t="shared" ref="K19:K30" si="3">J19*I19</f>
        <v>4004</v>
      </c>
      <c r="L19" s="19"/>
    </row>
    <row r="20" spans="1:12" ht="28">
      <c r="A20" s="8"/>
      <c r="B20" s="3" t="s">
        <v>910</v>
      </c>
      <c r="C20" s="62" t="s">
        <v>38</v>
      </c>
      <c r="D20" s="21">
        <v>1</v>
      </c>
      <c r="E20" s="22">
        <v>9520.5</v>
      </c>
      <c r="F20" s="22">
        <f t="shared" ref="F20" si="4">E20*D20</f>
        <v>9520.5</v>
      </c>
      <c r="G20" s="225" t="s">
        <v>930</v>
      </c>
      <c r="H20" s="230" t="s">
        <v>48</v>
      </c>
      <c r="I20" s="238">
        <v>5</v>
      </c>
      <c r="J20" s="239">
        <v>900.9</v>
      </c>
      <c r="K20" s="4">
        <f t="shared" si="3"/>
        <v>4504.5</v>
      </c>
      <c r="L20" s="19"/>
    </row>
    <row r="21" spans="1:12" ht="15">
      <c r="A21" s="8"/>
      <c r="B21" s="3"/>
      <c r="C21" s="62"/>
      <c r="D21" s="21"/>
      <c r="E21" s="22"/>
      <c r="F21" s="22"/>
      <c r="G21" s="226" t="s">
        <v>931</v>
      </c>
      <c r="H21" s="231" t="s">
        <v>48</v>
      </c>
      <c r="I21" s="236">
        <v>10</v>
      </c>
      <c r="J21" s="240">
        <v>361.72500000000002</v>
      </c>
      <c r="K21" s="4">
        <f t="shared" si="3"/>
        <v>3617.25</v>
      </c>
      <c r="L21" s="19"/>
    </row>
    <row r="22" spans="1:12" ht="15">
      <c r="A22" s="8"/>
      <c r="B22" s="3"/>
      <c r="C22" s="62"/>
      <c r="D22" s="21"/>
      <c r="E22" s="22"/>
      <c r="F22" s="22"/>
      <c r="G22" s="225" t="s">
        <v>932</v>
      </c>
      <c r="H22" s="230" t="s">
        <v>74</v>
      </c>
      <c r="I22" s="238">
        <v>115</v>
      </c>
      <c r="J22" s="239">
        <v>8.4240000000000013</v>
      </c>
      <c r="K22" s="4">
        <f t="shared" si="3"/>
        <v>968.7600000000001</v>
      </c>
      <c r="L22" s="19"/>
    </row>
    <row r="23" spans="1:12" ht="15">
      <c r="A23" s="8"/>
      <c r="B23" s="3"/>
      <c r="C23" s="62"/>
      <c r="D23" s="21"/>
      <c r="E23" s="22"/>
      <c r="F23" s="22"/>
      <c r="G23" s="226" t="s">
        <v>933</v>
      </c>
      <c r="H23" s="231" t="s">
        <v>74</v>
      </c>
      <c r="I23" s="236">
        <v>55</v>
      </c>
      <c r="J23" s="240">
        <v>26.52</v>
      </c>
      <c r="K23" s="4">
        <f t="shared" si="3"/>
        <v>1458.6</v>
      </c>
      <c r="L23" s="19"/>
    </row>
    <row r="24" spans="1:12" ht="15">
      <c r="A24" s="8"/>
      <c r="B24" s="3"/>
      <c r="C24" s="62"/>
      <c r="D24" s="21"/>
      <c r="E24" s="22"/>
      <c r="F24" s="22"/>
      <c r="G24" s="227" t="s">
        <v>934</v>
      </c>
      <c r="H24" s="232" t="s">
        <v>74</v>
      </c>
      <c r="I24" s="238">
        <v>20</v>
      </c>
      <c r="J24" s="241">
        <v>12.48</v>
      </c>
      <c r="K24" s="4">
        <f t="shared" si="3"/>
        <v>249.60000000000002</v>
      </c>
      <c r="L24" s="19"/>
    </row>
    <row r="25" spans="1:12" ht="15">
      <c r="A25" s="8"/>
      <c r="B25" s="3"/>
      <c r="C25" s="62"/>
      <c r="D25" s="21"/>
      <c r="E25" s="22"/>
      <c r="F25" s="22"/>
      <c r="G25" s="224" t="s">
        <v>935</v>
      </c>
      <c r="H25" s="229" t="s">
        <v>74</v>
      </c>
      <c r="I25" s="236">
        <v>25</v>
      </c>
      <c r="J25" s="242">
        <v>22.75</v>
      </c>
      <c r="K25" s="4">
        <f t="shared" si="3"/>
        <v>568.75</v>
      </c>
      <c r="L25" s="19"/>
    </row>
    <row r="26" spans="1:12" ht="15">
      <c r="A26" s="8"/>
      <c r="B26" s="3"/>
      <c r="C26" s="62"/>
      <c r="D26" s="21"/>
      <c r="E26" s="22"/>
      <c r="F26" s="22"/>
      <c r="G26" s="227" t="s">
        <v>922</v>
      </c>
      <c r="H26" s="232" t="s">
        <v>149</v>
      </c>
      <c r="I26" s="238">
        <v>1</v>
      </c>
      <c r="J26" s="241">
        <v>55.25</v>
      </c>
      <c r="K26" s="4">
        <f t="shared" si="3"/>
        <v>55.25</v>
      </c>
      <c r="L26" s="19"/>
    </row>
    <row r="27" spans="1:12" ht="15">
      <c r="A27" s="8"/>
      <c r="B27" s="3"/>
      <c r="C27" s="62"/>
      <c r="D27" s="21"/>
      <c r="E27" s="22"/>
      <c r="F27" s="22"/>
      <c r="G27" s="224" t="s">
        <v>936</v>
      </c>
      <c r="H27" s="229" t="s">
        <v>149</v>
      </c>
      <c r="I27" s="236">
        <v>1</v>
      </c>
      <c r="J27" s="242">
        <v>227.5</v>
      </c>
      <c r="K27" s="4">
        <f t="shared" si="3"/>
        <v>227.5</v>
      </c>
      <c r="L27" s="19"/>
    </row>
    <row r="28" spans="1:12" ht="15">
      <c r="A28" s="8"/>
      <c r="B28" s="3"/>
      <c r="C28" s="62"/>
      <c r="D28" s="21"/>
      <c r="E28" s="22"/>
      <c r="F28" s="22"/>
      <c r="G28" s="227" t="s">
        <v>937</v>
      </c>
      <c r="H28" s="232" t="s">
        <v>149</v>
      </c>
      <c r="I28" s="238">
        <v>1</v>
      </c>
      <c r="J28" s="241">
        <v>308.75</v>
      </c>
      <c r="K28" s="4">
        <f t="shared" si="3"/>
        <v>308.75</v>
      </c>
      <c r="L28" s="19"/>
    </row>
    <row r="29" spans="1:12" ht="15">
      <c r="A29" s="8"/>
      <c r="B29" s="3" t="s">
        <v>924</v>
      </c>
      <c r="C29" s="62" t="s">
        <v>36</v>
      </c>
      <c r="D29" s="21">
        <v>1</v>
      </c>
      <c r="E29" s="22">
        <v>3777.9720000000002</v>
      </c>
      <c r="F29" s="22">
        <f t="shared" ref="F29:F30" si="5">E29*D29</f>
        <v>3777.9720000000002</v>
      </c>
      <c r="G29" s="224" t="s">
        <v>923</v>
      </c>
      <c r="H29" s="229" t="s">
        <v>149</v>
      </c>
      <c r="I29" s="236">
        <v>4</v>
      </c>
      <c r="J29" s="242">
        <v>3.4125000000000001</v>
      </c>
      <c r="K29" s="4">
        <f t="shared" si="3"/>
        <v>13.65</v>
      </c>
      <c r="L29" s="19"/>
    </row>
    <row r="30" spans="1:12" ht="15">
      <c r="A30" s="8"/>
      <c r="B30" s="3" t="s">
        <v>926</v>
      </c>
      <c r="C30" s="62" t="s">
        <v>36</v>
      </c>
      <c r="D30" s="21">
        <v>1</v>
      </c>
      <c r="E30" s="22">
        <v>844.15</v>
      </c>
      <c r="F30" s="22">
        <f t="shared" si="5"/>
        <v>844.15</v>
      </c>
      <c r="G30" s="227" t="s">
        <v>938</v>
      </c>
      <c r="H30" s="232" t="s">
        <v>149</v>
      </c>
      <c r="I30" s="238">
        <v>2</v>
      </c>
      <c r="J30" s="241">
        <v>211.25</v>
      </c>
      <c r="K30" s="4">
        <f t="shared" si="3"/>
        <v>422.5</v>
      </c>
      <c r="L30" s="19"/>
    </row>
    <row r="31" spans="1:12" ht="14">
      <c r="A31" s="8"/>
      <c r="B31" s="18" t="s">
        <v>939</v>
      </c>
      <c r="C31" s="62"/>
      <c r="D31" s="21"/>
      <c r="E31" s="234" t="s">
        <v>909</v>
      </c>
      <c r="F31" s="22"/>
      <c r="G31" s="106"/>
      <c r="H31" s="21"/>
      <c r="I31" s="145"/>
      <c r="J31" s="146"/>
      <c r="K31" s="4"/>
      <c r="L31" s="19"/>
    </row>
    <row r="32" spans="1:12" ht="60">
      <c r="A32" s="8"/>
      <c r="B32" s="3" t="s">
        <v>910</v>
      </c>
      <c r="C32" s="62" t="s">
        <v>38</v>
      </c>
      <c r="D32" s="21">
        <v>1</v>
      </c>
      <c r="E32" s="22">
        <v>16076.500000000002</v>
      </c>
      <c r="F32" s="22">
        <f t="shared" ref="F32" si="6">E32*D32</f>
        <v>16076.500000000002</v>
      </c>
      <c r="G32" s="224" t="s">
        <v>940</v>
      </c>
      <c r="H32" s="229" t="s">
        <v>48</v>
      </c>
      <c r="I32" s="243">
        <v>1</v>
      </c>
      <c r="J32" s="244">
        <v>12298.65</v>
      </c>
      <c r="K32" s="4">
        <f t="shared" ref="K32:K41" si="7">J32*I32</f>
        <v>12298.65</v>
      </c>
      <c r="L32" s="19"/>
    </row>
    <row r="33" spans="1:12" ht="30">
      <c r="A33" s="8"/>
      <c r="B33" s="3"/>
      <c r="C33" s="62"/>
      <c r="D33" s="21"/>
      <c r="E33" s="22"/>
      <c r="F33" s="22"/>
      <c r="G33" s="225" t="s">
        <v>941</v>
      </c>
      <c r="H33" s="230" t="s">
        <v>41</v>
      </c>
      <c r="I33" s="245">
        <v>13</v>
      </c>
      <c r="J33" s="246">
        <v>514.80000000000007</v>
      </c>
      <c r="K33" s="4">
        <f t="shared" si="7"/>
        <v>6692.4000000000005</v>
      </c>
      <c r="L33" s="19"/>
    </row>
    <row r="34" spans="1:12" ht="30">
      <c r="A34" s="8"/>
      <c r="B34" s="3"/>
      <c r="C34" s="62"/>
      <c r="D34" s="21"/>
      <c r="E34" s="22"/>
      <c r="F34" s="22"/>
      <c r="G34" s="226" t="s">
        <v>942</v>
      </c>
      <c r="H34" s="231" t="s">
        <v>41</v>
      </c>
      <c r="I34" s="243">
        <v>4</v>
      </c>
      <c r="J34" s="247">
        <v>514.80000000000007</v>
      </c>
      <c r="K34" s="4">
        <f t="shared" si="7"/>
        <v>2059.2000000000003</v>
      </c>
      <c r="L34" s="19"/>
    </row>
    <row r="35" spans="1:12" ht="30">
      <c r="A35" s="8"/>
      <c r="B35" s="3"/>
      <c r="C35" s="62"/>
      <c r="D35" s="21"/>
      <c r="E35" s="22"/>
      <c r="F35" s="22"/>
      <c r="G35" s="225" t="s">
        <v>943</v>
      </c>
      <c r="H35" s="230" t="s">
        <v>41</v>
      </c>
      <c r="I35" s="245">
        <v>11</v>
      </c>
      <c r="J35" s="246">
        <v>514.80000000000007</v>
      </c>
      <c r="K35" s="4">
        <f t="shared" si="7"/>
        <v>5662.8000000000011</v>
      </c>
      <c r="L35" s="19"/>
    </row>
    <row r="36" spans="1:12" ht="15">
      <c r="A36" s="8"/>
      <c r="B36" s="3"/>
      <c r="C36" s="62"/>
      <c r="D36" s="21"/>
      <c r="E36" s="22"/>
      <c r="F36" s="22"/>
      <c r="G36" s="226" t="s">
        <v>944</v>
      </c>
      <c r="H36" s="231" t="s">
        <v>41</v>
      </c>
      <c r="I36" s="243">
        <v>35</v>
      </c>
      <c r="J36" s="247">
        <v>178.75</v>
      </c>
      <c r="K36" s="4">
        <f t="shared" si="7"/>
        <v>6256.25</v>
      </c>
      <c r="L36" s="19"/>
    </row>
    <row r="37" spans="1:12" ht="15">
      <c r="A37" s="8"/>
      <c r="B37" s="3"/>
      <c r="C37" s="62"/>
      <c r="D37" s="21"/>
      <c r="E37" s="22"/>
      <c r="F37" s="22"/>
      <c r="G37" s="227" t="s">
        <v>945</v>
      </c>
      <c r="H37" s="232" t="s">
        <v>51</v>
      </c>
      <c r="I37" s="245">
        <v>70</v>
      </c>
      <c r="J37" s="248">
        <v>61.66</v>
      </c>
      <c r="K37" s="4">
        <f t="shared" si="7"/>
        <v>4316.2</v>
      </c>
      <c r="L37" s="19"/>
    </row>
    <row r="38" spans="1:12" ht="15">
      <c r="A38" s="8"/>
      <c r="B38" s="3"/>
      <c r="C38" s="62"/>
      <c r="D38" s="21"/>
      <c r="E38" s="22"/>
      <c r="F38" s="22"/>
      <c r="G38" s="224" t="s">
        <v>946</v>
      </c>
      <c r="H38" s="229" t="s">
        <v>43</v>
      </c>
      <c r="I38" s="243">
        <v>40</v>
      </c>
      <c r="J38" s="249">
        <v>17.16</v>
      </c>
      <c r="K38" s="4">
        <f t="shared" si="7"/>
        <v>686.4</v>
      </c>
      <c r="L38" s="19"/>
    </row>
    <row r="39" spans="1:12" ht="15">
      <c r="A39" s="8"/>
      <c r="B39" s="3" t="s">
        <v>924</v>
      </c>
      <c r="C39" s="62" t="s">
        <v>36</v>
      </c>
      <c r="D39" s="21">
        <v>1</v>
      </c>
      <c r="E39" s="22">
        <v>3093.9150000000004</v>
      </c>
      <c r="F39" s="22">
        <f>E39*D39</f>
        <v>3093.9150000000004</v>
      </c>
      <c r="G39" s="227" t="s">
        <v>947</v>
      </c>
      <c r="H39" s="232" t="s">
        <v>43</v>
      </c>
      <c r="I39" s="245">
        <v>100</v>
      </c>
      <c r="J39" s="248">
        <v>153.01000000000002</v>
      </c>
      <c r="K39" s="4">
        <f t="shared" si="7"/>
        <v>15301.000000000002</v>
      </c>
      <c r="L39" s="19"/>
    </row>
    <row r="40" spans="1:12" ht="15">
      <c r="A40" s="8"/>
      <c r="B40" s="3" t="s">
        <v>948</v>
      </c>
      <c r="C40" s="62" t="s">
        <v>36</v>
      </c>
      <c r="D40" s="21">
        <v>1</v>
      </c>
      <c r="E40" s="22">
        <v>618.78300000000002</v>
      </c>
      <c r="F40" s="22">
        <f>E40*D40</f>
        <v>618.78300000000002</v>
      </c>
      <c r="G40" s="224" t="s">
        <v>949</v>
      </c>
      <c r="H40" s="229" t="s">
        <v>48</v>
      </c>
      <c r="I40" s="243">
        <v>1</v>
      </c>
      <c r="J40" s="249">
        <v>224.51</v>
      </c>
      <c r="K40" s="4">
        <f t="shared" si="7"/>
        <v>224.51</v>
      </c>
      <c r="L40" s="19"/>
    </row>
    <row r="41" spans="1:12" ht="15">
      <c r="A41" s="8"/>
      <c r="B41" s="3" t="s">
        <v>926</v>
      </c>
      <c r="C41" s="62" t="s">
        <v>36</v>
      </c>
      <c r="D41" s="21">
        <v>1</v>
      </c>
      <c r="E41" s="22">
        <v>1608.8358000000001</v>
      </c>
      <c r="F41" s="22">
        <f>E41*D41</f>
        <v>1608.8358000000001</v>
      </c>
      <c r="G41" s="223" t="s">
        <v>950</v>
      </c>
      <c r="H41" s="228" t="s">
        <v>161</v>
      </c>
      <c r="I41" s="250">
        <v>1</v>
      </c>
      <c r="J41" s="251">
        <v>3861</v>
      </c>
      <c r="K41" s="4">
        <f t="shared" si="7"/>
        <v>3861</v>
      </c>
      <c r="L41" s="19"/>
    </row>
    <row r="42" spans="1:12" ht="28">
      <c r="A42" s="8"/>
      <c r="B42" s="18" t="s">
        <v>951</v>
      </c>
      <c r="C42" s="62"/>
      <c r="D42" s="21"/>
      <c r="E42" s="235" t="s">
        <v>909</v>
      </c>
      <c r="F42" s="22"/>
      <c r="G42" s="106"/>
      <c r="H42" s="21"/>
      <c r="I42" s="145"/>
      <c r="J42" s="146"/>
      <c r="K42" s="4"/>
      <c r="L42" s="19"/>
    </row>
    <row r="43" spans="1:12" ht="15">
      <c r="A43" s="8"/>
      <c r="B43" s="3"/>
      <c r="C43" s="62"/>
      <c r="D43" s="21"/>
      <c r="E43" s="22"/>
      <c r="F43" s="22"/>
      <c r="G43" s="224" t="s">
        <v>952</v>
      </c>
      <c r="H43" s="229" t="s">
        <v>48</v>
      </c>
      <c r="I43" s="236">
        <v>1</v>
      </c>
      <c r="J43" s="237">
        <v>8681.4</v>
      </c>
      <c r="K43" s="4">
        <f t="shared" ref="K43:K68" si="8">J43*I43</f>
        <v>8681.4</v>
      </c>
      <c r="L43" s="19"/>
    </row>
    <row r="44" spans="1:12" ht="28">
      <c r="A44" s="8"/>
      <c r="B44" s="3" t="s">
        <v>910</v>
      </c>
      <c r="C44" s="62" t="s">
        <v>38</v>
      </c>
      <c r="D44" s="21">
        <v>1</v>
      </c>
      <c r="E44" s="22">
        <v>13442.000000000002</v>
      </c>
      <c r="F44" s="22">
        <f t="shared" ref="F44" si="9">E44*D44</f>
        <v>13442.000000000002</v>
      </c>
      <c r="G44" s="225" t="s">
        <v>953</v>
      </c>
      <c r="H44" s="230" t="s">
        <v>48</v>
      </c>
      <c r="I44" s="238">
        <v>1</v>
      </c>
      <c r="J44" s="239">
        <v>7480.2</v>
      </c>
      <c r="K44" s="4">
        <f t="shared" si="8"/>
        <v>7480.2</v>
      </c>
      <c r="L44" s="19"/>
    </row>
    <row r="45" spans="1:12" ht="15">
      <c r="A45" s="8"/>
      <c r="B45" s="3"/>
      <c r="C45" s="62"/>
      <c r="D45" s="21"/>
      <c r="E45" s="22"/>
      <c r="F45" s="22"/>
      <c r="G45" s="226" t="s">
        <v>954</v>
      </c>
      <c r="H45" s="231" t="s">
        <v>48</v>
      </c>
      <c r="I45" s="236">
        <v>1</v>
      </c>
      <c r="J45" s="240">
        <v>452.40000000000003</v>
      </c>
      <c r="K45" s="4">
        <f t="shared" si="8"/>
        <v>452.40000000000003</v>
      </c>
      <c r="L45" s="19"/>
    </row>
    <row r="46" spans="1:12" ht="15">
      <c r="A46" s="8"/>
      <c r="B46" s="3"/>
      <c r="C46" s="62"/>
      <c r="D46" s="21"/>
      <c r="E46" s="22"/>
      <c r="F46" s="22"/>
      <c r="G46" s="225" t="s">
        <v>955</v>
      </c>
      <c r="H46" s="230" t="s">
        <v>48</v>
      </c>
      <c r="I46" s="238">
        <v>1</v>
      </c>
      <c r="J46" s="239">
        <v>6802.2591000000011</v>
      </c>
      <c r="K46" s="4">
        <f t="shared" si="8"/>
        <v>6802.2591000000011</v>
      </c>
      <c r="L46" s="19"/>
    </row>
    <row r="47" spans="1:12" ht="30">
      <c r="A47" s="8"/>
      <c r="B47" s="3"/>
      <c r="C47" s="62"/>
      <c r="D47" s="21"/>
      <c r="E47" s="22"/>
      <c r="F47" s="22"/>
      <c r="G47" s="226" t="s">
        <v>956</v>
      </c>
      <c r="H47" s="231" t="s">
        <v>48</v>
      </c>
      <c r="I47" s="236">
        <v>1</v>
      </c>
      <c r="J47" s="240">
        <v>0</v>
      </c>
      <c r="K47" s="4">
        <f t="shared" si="8"/>
        <v>0</v>
      </c>
      <c r="L47" s="19"/>
    </row>
    <row r="48" spans="1:12" ht="15">
      <c r="A48" s="8"/>
      <c r="B48" s="3"/>
      <c r="C48" s="62"/>
      <c r="D48" s="21"/>
      <c r="E48" s="22"/>
      <c r="F48" s="22"/>
      <c r="G48" s="227" t="s">
        <v>957</v>
      </c>
      <c r="H48" s="232" t="s">
        <v>51</v>
      </c>
      <c r="I48" s="238">
        <v>11</v>
      </c>
      <c r="J48" s="241">
        <v>2002</v>
      </c>
      <c r="K48" s="4">
        <f t="shared" si="8"/>
        <v>22022</v>
      </c>
      <c r="L48" s="19"/>
    </row>
    <row r="49" spans="1:12" ht="30">
      <c r="A49" s="8"/>
      <c r="B49" s="3"/>
      <c r="C49" s="62"/>
      <c r="D49" s="21"/>
      <c r="E49" s="22"/>
      <c r="F49" s="22"/>
      <c r="G49" s="224" t="s">
        <v>958</v>
      </c>
      <c r="H49" s="229" t="s">
        <v>51</v>
      </c>
      <c r="I49" s="236">
        <v>11</v>
      </c>
      <c r="J49" s="242">
        <v>0</v>
      </c>
      <c r="K49" s="4">
        <f t="shared" si="8"/>
        <v>0</v>
      </c>
      <c r="L49" s="19"/>
    </row>
    <row r="50" spans="1:12" ht="15">
      <c r="A50" s="8"/>
      <c r="B50" s="3"/>
      <c r="C50" s="62"/>
      <c r="D50" s="21"/>
      <c r="E50" s="22"/>
      <c r="F50" s="22"/>
      <c r="G50" s="227" t="s">
        <v>959</v>
      </c>
      <c r="H50" s="232" t="s">
        <v>48</v>
      </c>
      <c r="I50" s="238">
        <v>1</v>
      </c>
      <c r="J50" s="241">
        <v>354.64000000000004</v>
      </c>
      <c r="K50" s="4">
        <f t="shared" si="8"/>
        <v>354.64000000000004</v>
      </c>
      <c r="L50" s="19"/>
    </row>
    <row r="51" spans="1:12" ht="15">
      <c r="A51" s="8"/>
      <c r="B51" s="3"/>
      <c r="C51" s="62"/>
      <c r="D51" s="21"/>
      <c r="E51" s="22"/>
      <c r="F51" s="22"/>
      <c r="G51" s="224" t="s">
        <v>960</v>
      </c>
      <c r="H51" s="229" t="s">
        <v>48</v>
      </c>
      <c r="I51" s="236">
        <v>1</v>
      </c>
      <c r="J51" s="242">
        <v>354.64000000000004</v>
      </c>
      <c r="K51" s="4">
        <f t="shared" si="8"/>
        <v>354.64000000000004</v>
      </c>
      <c r="L51" s="19"/>
    </row>
    <row r="52" spans="1:12" ht="15">
      <c r="A52" s="8"/>
      <c r="B52" s="3"/>
      <c r="C52" s="62"/>
      <c r="D52" s="21"/>
      <c r="E52" s="22"/>
      <c r="F52" s="22"/>
      <c r="G52" s="227" t="s">
        <v>961</v>
      </c>
      <c r="H52" s="232" t="s">
        <v>48</v>
      </c>
      <c r="I52" s="238">
        <v>1</v>
      </c>
      <c r="J52" s="241">
        <v>124.41000000000001</v>
      </c>
      <c r="K52" s="4">
        <f t="shared" si="8"/>
        <v>124.41000000000001</v>
      </c>
      <c r="L52" s="19"/>
    </row>
    <row r="53" spans="1:12" ht="30">
      <c r="A53" s="8"/>
      <c r="B53" s="3"/>
      <c r="C53" s="62"/>
      <c r="D53" s="21"/>
      <c r="E53" s="22"/>
      <c r="F53" s="22"/>
      <c r="G53" s="224" t="s">
        <v>962</v>
      </c>
      <c r="H53" s="229" t="s">
        <v>48</v>
      </c>
      <c r="I53" s="236">
        <v>1</v>
      </c>
      <c r="J53" s="242">
        <v>327.60000000000002</v>
      </c>
      <c r="K53" s="4">
        <f t="shared" si="8"/>
        <v>327.60000000000002</v>
      </c>
      <c r="L53" s="19"/>
    </row>
    <row r="54" spans="1:12" ht="30">
      <c r="A54" s="8"/>
      <c r="B54" s="3" t="s">
        <v>924</v>
      </c>
      <c r="C54" s="62" t="s">
        <v>36</v>
      </c>
      <c r="D54" s="21">
        <v>1</v>
      </c>
      <c r="E54" s="22">
        <v>3474.5733000000005</v>
      </c>
      <c r="F54" s="22">
        <f>E54*D54</f>
        <v>3474.5733000000005</v>
      </c>
      <c r="G54" s="227" t="s">
        <v>963</v>
      </c>
      <c r="H54" s="232" t="s">
        <v>48</v>
      </c>
      <c r="I54" s="238">
        <v>1</v>
      </c>
      <c r="J54" s="241">
        <v>327.60000000000002</v>
      </c>
      <c r="K54" s="4">
        <f t="shared" si="8"/>
        <v>327.60000000000002</v>
      </c>
      <c r="L54" s="19"/>
    </row>
    <row r="55" spans="1:12" ht="30">
      <c r="A55" s="8"/>
      <c r="B55" s="3" t="s">
        <v>948</v>
      </c>
      <c r="C55" s="62" t="s">
        <v>36</v>
      </c>
      <c r="D55" s="21">
        <v>1</v>
      </c>
      <c r="E55" s="22">
        <v>833.89759200000003</v>
      </c>
      <c r="F55" s="22">
        <f>E55*D55</f>
        <v>833.89759200000003</v>
      </c>
      <c r="G55" s="224" t="s">
        <v>964</v>
      </c>
      <c r="H55" s="229" t="s">
        <v>48</v>
      </c>
      <c r="I55" s="236">
        <v>1</v>
      </c>
      <c r="J55" s="242">
        <v>327.60000000000002</v>
      </c>
      <c r="K55" s="4">
        <f t="shared" si="8"/>
        <v>327.60000000000002</v>
      </c>
      <c r="L55" s="19"/>
    </row>
    <row r="56" spans="1:12" ht="15">
      <c r="A56" s="8"/>
      <c r="B56" s="3" t="s">
        <v>926</v>
      </c>
      <c r="C56" s="62" t="s">
        <v>36</v>
      </c>
      <c r="D56" s="21">
        <v>1</v>
      </c>
      <c r="E56" s="22">
        <v>1806.7781160000002</v>
      </c>
      <c r="F56" s="22">
        <f>E56*D56</f>
        <v>1806.7781160000002</v>
      </c>
      <c r="G56" s="227" t="s">
        <v>931</v>
      </c>
      <c r="H56" s="232" t="s">
        <v>48</v>
      </c>
      <c r="I56" s="238">
        <v>2</v>
      </c>
      <c r="J56" s="241">
        <v>361.72500000000002</v>
      </c>
      <c r="K56" s="4">
        <f t="shared" si="8"/>
        <v>723.45</v>
      </c>
      <c r="L56" s="19"/>
    </row>
    <row r="57" spans="1:12" ht="15">
      <c r="A57" s="8"/>
      <c r="B57" s="3"/>
      <c r="C57" s="62"/>
      <c r="D57" s="21"/>
      <c r="E57" s="22"/>
      <c r="F57" s="22"/>
      <c r="G57" s="224" t="s">
        <v>916</v>
      </c>
      <c r="H57" s="229" t="s">
        <v>74</v>
      </c>
      <c r="I57" s="236">
        <v>20</v>
      </c>
      <c r="J57" s="242">
        <v>5.7720000000000011</v>
      </c>
      <c r="K57" s="4">
        <f t="shared" si="8"/>
        <v>115.44000000000003</v>
      </c>
      <c r="L57" s="19"/>
    </row>
    <row r="58" spans="1:12" ht="30">
      <c r="A58" s="8"/>
      <c r="B58" s="3"/>
      <c r="C58" s="62"/>
      <c r="D58" s="21"/>
      <c r="E58" s="22"/>
      <c r="F58" s="22"/>
      <c r="G58" s="227" t="s">
        <v>965</v>
      </c>
      <c r="H58" s="232" t="s">
        <v>74</v>
      </c>
      <c r="I58" s="238">
        <v>10</v>
      </c>
      <c r="J58" s="241">
        <v>20.28</v>
      </c>
      <c r="K58" s="4">
        <f t="shared" si="8"/>
        <v>202.8</v>
      </c>
      <c r="L58" s="19"/>
    </row>
    <row r="59" spans="1:12" ht="30">
      <c r="A59" s="8"/>
      <c r="B59" s="3"/>
      <c r="C59" s="62"/>
      <c r="D59" s="21"/>
      <c r="E59" s="22"/>
      <c r="F59" s="22"/>
      <c r="G59" s="224" t="s">
        <v>966</v>
      </c>
      <c r="H59" s="229" t="s">
        <v>74</v>
      </c>
      <c r="I59" s="236">
        <v>50</v>
      </c>
      <c r="J59" s="242">
        <v>10.920000000000002</v>
      </c>
      <c r="K59" s="4">
        <f t="shared" si="8"/>
        <v>546.00000000000011</v>
      </c>
      <c r="L59" s="19"/>
    </row>
    <row r="60" spans="1:12" ht="30">
      <c r="A60" s="8"/>
      <c r="B60" s="3"/>
      <c r="C60" s="62"/>
      <c r="D60" s="21"/>
      <c r="E60" s="22"/>
      <c r="F60" s="22"/>
      <c r="G60" s="227" t="s">
        <v>967</v>
      </c>
      <c r="H60" s="232" t="s">
        <v>74</v>
      </c>
      <c r="I60" s="238">
        <v>100</v>
      </c>
      <c r="J60" s="241">
        <v>8.4240000000000013</v>
      </c>
      <c r="K60" s="4">
        <f t="shared" si="8"/>
        <v>842.40000000000009</v>
      </c>
      <c r="L60" s="19"/>
    </row>
    <row r="61" spans="1:12" ht="30">
      <c r="A61" s="8"/>
      <c r="B61" s="3"/>
      <c r="C61" s="62"/>
      <c r="D61" s="21"/>
      <c r="E61" s="22"/>
      <c r="F61" s="22"/>
      <c r="G61" s="224" t="s">
        <v>968</v>
      </c>
      <c r="H61" s="229" t="s">
        <v>74</v>
      </c>
      <c r="I61" s="236">
        <v>70</v>
      </c>
      <c r="J61" s="242">
        <v>26.52</v>
      </c>
      <c r="K61" s="4">
        <f t="shared" si="8"/>
        <v>1856.3999999999999</v>
      </c>
      <c r="L61" s="19"/>
    </row>
    <row r="62" spans="1:12" ht="15">
      <c r="A62" s="8"/>
      <c r="B62" s="3"/>
      <c r="C62" s="62"/>
      <c r="D62" s="21"/>
      <c r="E62" s="22"/>
      <c r="F62" s="22"/>
      <c r="G62" s="227" t="s">
        <v>969</v>
      </c>
      <c r="H62" s="232" t="s">
        <v>48</v>
      </c>
      <c r="I62" s="238">
        <v>1</v>
      </c>
      <c r="J62" s="241">
        <v>1401.4</v>
      </c>
      <c r="K62" s="4">
        <f t="shared" si="8"/>
        <v>1401.4</v>
      </c>
      <c r="L62" s="19"/>
    </row>
    <row r="63" spans="1:12" ht="15">
      <c r="A63" s="8"/>
      <c r="B63" s="195"/>
      <c r="C63" s="195"/>
      <c r="D63" s="195"/>
      <c r="E63" s="195"/>
      <c r="F63" s="195"/>
      <c r="G63" s="224" t="s">
        <v>970</v>
      </c>
      <c r="H63" s="229" t="s">
        <v>48</v>
      </c>
      <c r="I63" s="236">
        <v>1</v>
      </c>
      <c r="J63" s="242">
        <v>1482</v>
      </c>
      <c r="K63" s="4">
        <f t="shared" si="8"/>
        <v>1482</v>
      </c>
      <c r="L63" s="19"/>
    </row>
    <row r="64" spans="1:12" ht="15">
      <c r="A64" s="8"/>
      <c r="B64" s="195"/>
      <c r="C64" s="195"/>
      <c r="D64" s="195"/>
      <c r="E64" s="195"/>
      <c r="F64" s="195"/>
      <c r="G64" s="227" t="s">
        <v>971</v>
      </c>
      <c r="H64" s="232" t="s">
        <v>74</v>
      </c>
      <c r="I64" s="238">
        <v>120</v>
      </c>
      <c r="J64" s="241">
        <v>29.64</v>
      </c>
      <c r="K64" s="4">
        <f t="shared" si="8"/>
        <v>3556.8</v>
      </c>
      <c r="L64" s="19"/>
    </row>
    <row r="65" spans="1:12" ht="15">
      <c r="A65" s="8"/>
      <c r="B65" s="195"/>
      <c r="C65" s="195"/>
      <c r="D65" s="195"/>
      <c r="E65" s="195"/>
      <c r="F65" s="195"/>
      <c r="G65" s="224" t="s">
        <v>972</v>
      </c>
      <c r="H65" s="229" t="s">
        <v>920</v>
      </c>
      <c r="I65" s="236">
        <v>3</v>
      </c>
      <c r="J65" s="242">
        <v>2.964</v>
      </c>
      <c r="K65" s="4">
        <f t="shared" si="8"/>
        <v>8.8919999999999995</v>
      </c>
      <c r="L65" s="19"/>
    </row>
    <row r="66" spans="1:12" ht="15">
      <c r="A66" s="8"/>
      <c r="B66" s="3"/>
      <c r="C66" s="62"/>
      <c r="D66" s="21"/>
      <c r="E66" s="22"/>
      <c r="F66" s="22"/>
      <c r="G66" s="227" t="s">
        <v>973</v>
      </c>
      <c r="H66" s="232" t="s">
        <v>920</v>
      </c>
      <c r="I66" s="238">
        <v>2</v>
      </c>
      <c r="J66" s="241">
        <v>327.60000000000002</v>
      </c>
      <c r="K66" s="4">
        <f t="shared" si="8"/>
        <v>655.20000000000005</v>
      </c>
      <c r="L66" s="19"/>
    </row>
    <row r="67" spans="1:12" ht="15">
      <c r="A67" s="8"/>
      <c r="B67" s="3"/>
      <c r="C67" s="62"/>
      <c r="D67" s="21"/>
      <c r="E67" s="22"/>
      <c r="F67" s="22"/>
      <c r="G67" s="224" t="s">
        <v>974</v>
      </c>
      <c r="H67" s="229" t="s">
        <v>920</v>
      </c>
      <c r="I67" s="236">
        <v>1</v>
      </c>
      <c r="J67" s="242">
        <v>889.2</v>
      </c>
      <c r="K67" s="4">
        <f t="shared" si="8"/>
        <v>889.2</v>
      </c>
      <c r="L67" s="19"/>
    </row>
    <row r="68" spans="1:12" ht="30">
      <c r="A68" s="8"/>
      <c r="B68" s="3"/>
      <c r="C68" s="62"/>
      <c r="D68" s="21"/>
      <c r="E68" s="22"/>
      <c r="F68" s="22"/>
      <c r="G68" s="227" t="s">
        <v>975</v>
      </c>
      <c r="H68" s="232" t="s">
        <v>976</v>
      </c>
      <c r="I68" s="238">
        <v>1</v>
      </c>
      <c r="J68" s="241">
        <v>436.8</v>
      </c>
      <c r="K68" s="4">
        <f t="shared" si="8"/>
        <v>436.8</v>
      </c>
      <c r="L68" s="19"/>
    </row>
    <row r="71" spans="1:12">
      <c r="E71" t="s">
        <v>150</v>
      </c>
      <c r="F71" s="253">
        <f>SUM(F3:F68)</f>
        <v>84461.735808000012</v>
      </c>
      <c r="J71" t="s">
        <v>151</v>
      </c>
      <c r="K71" s="253">
        <f>SUM(K3:K68)</f>
        <v>152888.84109999999</v>
      </c>
    </row>
  </sheetData>
  <sheetProtection algorithmName="SHA-512" hashValue="Go5HSYdwJ3Tlf9MlQxgP+JH5eooWwU4NlE+jhCGtDpsIhVwqzBWDZ082AEcjHI4IqjM7/ESihhH8861Nr2hU2A==" saltValue="k4tp63iP/RGAUhhngtn3QA==" spinCount="100000" sheet="1" objects="1" scenarios="1"/>
  <mergeCells count="7">
    <mergeCell ref="L1:L2"/>
    <mergeCell ref="A1:A2"/>
    <mergeCell ref="B1:B2"/>
    <mergeCell ref="C1:C2"/>
    <mergeCell ref="D1:D2"/>
    <mergeCell ref="E1:F1"/>
    <mergeCell ref="G1:K1"/>
  </mergeCells>
  <conditionalFormatting sqref="G4:G17">
    <cfRule type="cellIs" dxfId="11" priority="12" stopIfTrue="1" operator="lessThan">
      <formula>-0.0001</formula>
    </cfRule>
  </conditionalFormatting>
  <conditionalFormatting sqref="H4:H17">
    <cfRule type="cellIs" dxfId="10" priority="10" stopIfTrue="1" operator="lessThan">
      <formula>-0.0001</formula>
    </cfRule>
  </conditionalFormatting>
  <conditionalFormatting sqref="H4:H6">
    <cfRule type="cellIs" dxfId="9" priority="11" stopIfTrue="1" operator="lessThan">
      <formula>-0.0001</formula>
    </cfRule>
  </conditionalFormatting>
  <conditionalFormatting sqref="H43:J68">
    <cfRule type="cellIs" dxfId="8" priority="1" stopIfTrue="1" operator="lessThan">
      <formula>-0.0001</formula>
    </cfRule>
  </conditionalFormatting>
  <conditionalFormatting sqref="G19:G30">
    <cfRule type="cellIs" dxfId="7" priority="9" stopIfTrue="1" operator="lessThan">
      <formula>-0.0001</formula>
    </cfRule>
  </conditionalFormatting>
  <conditionalFormatting sqref="H19:H21">
    <cfRule type="cellIs" dxfId="6" priority="8" stopIfTrue="1" operator="lessThan">
      <formula>-0.0001</formula>
    </cfRule>
  </conditionalFormatting>
  <conditionalFormatting sqref="H19:J30">
    <cfRule type="cellIs" dxfId="5" priority="7" stopIfTrue="1" operator="lessThan">
      <formula>-0.0001</formula>
    </cfRule>
  </conditionalFormatting>
  <conditionalFormatting sqref="G32:G41">
    <cfRule type="cellIs" dxfId="4" priority="6" stopIfTrue="1" operator="lessThan">
      <formula>-0.0001</formula>
    </cfRule>
  </conditionalFormatting>
  <conditionalFormatting sqref="H32:H34">
    <cfRule type="cellIs" dxfId="3" priority="5" stopIfTrue="1" operator="lessThan">
      <formula>-0.0001</formula>
    </cfRule>
  </conditionalFormatting>
  <conditionalFormatting sqref="H32:J41">
    <cfRule type="cellIs" dxfId="2" priority="4" stopIfTrue="1" operator="lessThan">
      <formula>-0.0001</formula>
    </cfRule>
  </conditionalFormatting>
  <conditionalFormatting sqref="G43:G68">
    <cfRule type="cellIs" dxfId="1" priority="3" stopIfTrue="1" operator="lessThan">
      <formula>-0.0001</formula>
    </cfRule>
  </conditionalFormatting>
  <conditionalFormatting sqref="H43:H45">
    <cfRule type="cellIs" dxfId="0" priority="2" stopIfTrue="1" operator="lessThan">
      <formula>-0.0001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81"/>
  <sheetViews>
    <sheetView workbookViewId="0">
      <pane ySplit="2" topLeftCell="A9" activePane="bottomLeft" state="frozen"/>
      <selection pane="bottomLeft" activeCell="E9" sqref="E9"/>
    </sheetView>
  </sheetViews>
  <sheetFormatPr baseColWidth="10" defaultColWidth="8.83203125" defaultRowHeight="13"/>
  <cols>
    <col min="2" max="2" width="45.1640625" bestFit="1" customWidth="1"/>
    <col min="5" max="5" width="16.33203125" customWidth="1"/>
    <col min="6" max="6" width="13.83203125" customWidth="1"/>
    <col min="10" max="10" width="13.33203125" bestFit="1" customWidth="1"/>
    <col min="11" max="11" width="15.33203125" customWidth="1"/>
  </cols>
  <sheetData>
    <row r="1" spans="1:12">
      <c r="A1" s="285" t="s">
        <v>24</v>
      </c>
      <c r="B1" s="287" t="s">
        <v>25</v>
      </c>
      <c r="C1" s="288" t="s">
        <v>26</v>
      </c>
      <c r="D1" s="288" t="s">
        <v>27</v>
      </c>
      <c r="E1" s="289" t="s">
        <v>28</v>
      </c>
      <c r="F1" s="289"/>
      <c r="G1" s="290" t="s">
        <v>29</v>
      </c>
      <c r="H1" s="290"/>
      <c r="I1" s="290"/>
      <c r="J1" s="290"/>
      <c r="K1" s="290"/>
      <c r="L1" s="284" t="s">
        <v>30</v>
      </c>
    </row>
    <row r="2" spans="1:12" ht="56">
      <c r="A2" s="286"/>
      <c r="B2" s="287"/>
      <c r="C2" s="288"/>
      <c r="D2" s="288"/>
      <c r="E2" s="40" t="s">
        <v>31</v>
      </c>
      <c r="F2" s="40" t="s">
        <v>32</v>
      </c>
      <c r="G2" s="258" t="s">
        <v>33</v>
      </c>
      <c r="H2" s="259" t="s">
        <v>26</v>
      </c>
      <c r="I2" s="259" t="s">
        <v>27</v>
      </c>
      <c r="J2" s="40" t="s">
        <v>31</v>
      </c>
      <c r="K2" s="40" t="s">
        <v>32</v>
      </c>
      <c r="L2" s="284"/>
    </row>
    <row r="3" spans="1:12" ht="14">
      <c r="A3" s="7"/>
      <c r="B3" s="191" t="s">
        <v>34</v>
      </c>
      <c r="C3" s="20"/>
      <c r="D3" s="20"/>
      <c r="E3" s="5"/>
      <c r="F3" s="5"/>
      <c r="G3" s="165"/>
      <c r="H3" s="20"/>
      <c r="I3" s="39"/>
      <c r="J3" s="125"/>
      <c r="K3" s="5"/>
      <c r="L3" s="2"/>
    </row>
    <row r="4" spans="1:12" ht="26">
      <c r="A4" s="7"/>
      <c r="B4" s="258" t="s">
        <v>35</v>
      </c>
      <c r="C4" s="20" t="s">
        <v>36</v>
      </c>
      <c r="D4" s="20">
        <v>1</v>
      </c>
      <c r="E4" s="5"/>
      <c r="F4" s="178">
        <f t="shared" ref="F4" si="0">E4*D4</f>
        <v>0</v>
      </c>
      <c r="G4" s="165" t="s">
        <v>37</v>
      </c>
      <c r="H4" s="20" t="s">
        <v>38</v>
      </c>
      <c r="I4" s="39">
        <v>1</v>
      </c>
      <c r="J4" s="125"/>
      <c r="K4" s="208">
        <f t="shared" ref="K4" si="1">I4*J4</f>
        <v>0</v>
      </c>
      <c r="L4" s="2"/>
    </row>
    <row r="5" spans="1:12">
      <c r="A5" s="7"/>
      <c r="B5" s="102"/>
      <c r="C5" s="20"/>
      <c r="D5" s="20"/>
      <c r="E5" s="5"/>
      <c r="F5" s="5"/>
      <c r="G5" s="165"/>
      <c r="H5" s="20"/>
      <c r="I5" s="39"/>
      <c r="J5" s="125"/>
      <c r="K5" s="5"/>
      <c r="L5" s="2"/>
    </row>
    <row r="6" spans="1:12" ht="14">
      <c r="A6" s="7"/>
      <c r="B6" s="191" t="s">
        <v>39</v>
      </c>
      <c r="C6" s="195"/>
      <c r="D6" s="195"/>
      <c r="E6" s="195"/>
      <c r="F6" s="195"/>
      <c r="G6" s="195"/>
      <c r="H6" s="195"/>
      <c r="I6" s="195"/>
      <c r="J6" s="195"/>
      <c r="K6" s="5"/>
      <c r="L6" s="2"/>
    </row>
    <row r="7" spans="1:12" ht="39">
      <c r="A7" s="7">
        <v>1</v>
      </c>
      <c r="B7" s="206" t="s">
        <v>40</v>
      </c>
      <c r="C7" s="177" t="s">
        <v>41</v>
      </c>
      <c r="D7" s="207">
        <v>2</v>
      </c>
      <c r="E7" s="208"/>
      <c r="F7" s="178">
        <f t="shared" ref="F7" si="2">E7*D7</f>
        <v>0</v>
      </c>
      <c r="G7" s="209" t="s">
        <v>42</v>
      </c>
      <c r="H7" s="207" t="s">
        <v>43</v>
      </c>
      <c r="I7" s="210">
        <v>12</v>
      </c>
      <c r="J7" s="211"/>
      <c r="K7" s="208">
        <f t="shared" ref="K7:K17" si="3">I7*J7</f>
        <v>0</v>
      </c>
      <c r="L7" s="2"/>
    </row>
    <row r="8" spans="1:12" ht="39">
      <c r="A8" s="7"/>
      <c r="B8" s="212"/>
      <c r="C8" s="207"/>
      <c r="D8" s="207"/>
      <c r="E8" s="208"/>
      <c r="F8" s="178"/>
      <c r="G8" s="209" t="s">
        <v>44</v>
      </c>
      <c r="H8" s="207" t="s">
        <v>43</v>
      </c>
      <c r="I8" s="210">
        <v>10.199999999999999</v>
      </c>
      <c r="J8" s="211"/>
      <c r="K8" s="208">
        <f t="shared" si="3"/>
        <v>0</v>
      </c>
      <c r="L8" s="2"/>
    </row>
    <row r="9" spans="1:12" ht="39">
      <c r="A9" s="7"/>
      <c r="B9" s="212"/>
      <c r="C9" s="207"/>
      <c r="D9" s="207"/>
      <c r="E9" s="208"/>
      <c r="F9" s="178"/>
      <c r="G9" s="209" t="s">
        <v>45</v>
      </c>
      <c r="H9" s="207" t="s">
        <v>43</v>
      </c>
      <c r="I9" s="210">
        <v>40</v>
      </c>
      <c r="J9" s="211"/>
      <c r="K9" s="208">
        <f t="shared" si="3"/>
        <v>0</v>
      </c>
      <c r="L9" s="2"/>
    </row>
    <row r="10" spans="1:12" ht="39">
      <c r="A10" s="7"/>
      <c r="B10" s="212"/>
      <c r="C10" s="207"/>
      <c r="D10" s="207"/>
      <c r="E10" s="208"/>
      <c r="F10" s="178"/>
      <c r="G10" s="209" t="s">
        <v>46</v>
      </c>
      <c r="H10" s="207" t="s">
        <v>43</v>
      </c>
      <c r="I10" s="210">
        <v>3</v>
      </c>
      <c r="J10" s="211"/>
      <c r="K10" s="208">
        <f t="shared" si="3"/>
        <v>0</v>
      </c>
      <c r="L10" s="2"/>
    </row>
    <row r="11" spans="1:12" ht="26">
      <c r="A11" s="7"/>
      <c r="B11" s="212"/>
      <c r="C11" s="207"/>
      <c r="D11" s="207"/>
      <c r="E11" s="208"/>
      <c r="F11" s="178"/>
      <c r="G11" s="209" t="s">
        <v>47</v>
      </c>
      <c r="H11" s="207" t="s">
        <v>48</v>
      </c>
      <c r="I11" s="210">
        <v>2</v>
      </c>
      <c r="J11" s="211"/>
      <c r="K11" s="208">
        <f t="shared" si="3"/>
        <v>0</v>
      </c>
      <c r="L11" s="2"/>
    </row>
    <row r="12" spans="1:12" ht="52">
      <c r="A12" s="7"/>
      <c r="B12" s="212"/>
      <c r="C12" s="207"/>
      <c r="D12" s="207"/>
      <c r="E12" s="208"/>
      <c r="F12" s="178"/>
      <c r="G12" s="209" t="s">
        <v>49</v>
      </c>
      <c r="H12" s="207" t="s">
        <v>48</v>
      </c>
      <c r="I12" s="210">
        <v>5</v>
      </c>
      <c r="J12" s="211"/>
      <c r="K12" s="208">
        <f t="shared" si="3"/>
        <v>0</v>
      </c>
      <c r="L12" s="2"/>
    </row>
    <row r="13" spans="1:12" ht="26">
      <c r="A13" s="7"/>
      <c r="B13" s="212"/>
      <c r="C13" s="207"/>
      <c r="D13" s="207"/>
      <c r="E13" s="208"/>
      <c r="F13" s="178"/>
      <c r="G13" s="209" t="s">
        <v>50</v>
      </c>
      <c r="H13" s="207" t="s">
        <v>51</v>
      </c>
      <c r="I13" s="210">
        <v>1.5</v>
      </c>
      <c r="J13" s="211"/>
      <c r="K13" s="208">
        <f t="shared" si="3"/>
        <v>0</v>
      </c>
      <c r="L13" s="2"/>
    </row>
    <row r="14" spans="1:12" ht="78">
      <c r="A14" s="7"/>
      <c r="B14" s="212"/>
      <c r="C14" s="207"/>
      <c r="D14" s="207"/>
      <c r="E14" s="208"/>
      <c r="F14" s="178"/>
      <c r="G14" s="209" t="s">
        <v>52</v>
      </c>
      <c r="H14" s="207" t="s">
        <v>48</v>
      </c>
      <c r="I14" s="210">
        <v>1</v>
      </c>
      <c r="J14" s="211"/>
      <c r="K14" s="208">
        <f t="shared" si="3"/>
        <v>0</v>
      </c>
      <c r="L14" s="2"/>
    </row>
    <row r="15" spans="1:12" ht="65">
      <c r="A15" s="7"/>
      <c r="B15" s="212"/>
      <c r="C15" s="207"/>
      <c r="D15" s="207"/>
      <c r="E15" s="208"/>
      <c r="F15" s="178"/>
      <c r="G15" s="209" t="s">
        <v>53</v>
      </c>
      <c r="H15" s="207" t="s">
        <v>48</v>
      </c>
      <c r="I15" s="210">
        <v>2</v>
      </c>
      <c r="J15" s="211"/>
      <c r="K15" s="208">
        <f t="shared" si="3"/>
        <v>0</v>
      </c>
      <c r="L15" s="2"/>
    </row>
    <row r="16" spans="1:12" ht="52">
      <c r="A16" s="7"/>
      <c r="B16" s="206" t="s">
        <v>54</v>
      </c>
      <c r="C16" s="177" t="s">
        <v>41</v>
      </c>
      <c r="D16" s="207">
        <v>2</v>
      </c>
      <c r="E16" s="208"/>
      <c r="F16" s="178">
        <f t="shared" ref="F16" si="4">E16*D16</f>
        <v>0</v>
      </c>
      <c r="G16" s="209" t="s">
        <v>55</v>
      </c>
      <c r="H16" s="207" t="s">
        <v>48</v>
      </c>
      <c r="I16" s="210">
        <v>35</v>
      </c>
      <c r="J16" s="211"/>
      <c r="K16" s="208">
        <f t="shared" si="3"/>
        <v>0</v>
      </c>
      <c r="L16" s="2"/>
    </row>
    <row r="17" spans="1:12">
      <c r="A17" s="7"/>
      <c r="B17" s="212"/>
      <c r="C17" s="207"/>
      <c r="D17" s="207"/>
      <c r="E17" s="208"/>
      <c r="F17" s="178"/>
      <c r="G17" s="209" t="s">
        <v>56</v>
      </c>
      <c r="H17" s="207" t="s">
        <v>41</v>
      </c>
      <c r="I17" s="210">
        <v>3.16</v>
      </c>
      <c r="J17" s="196"/>
      <c r="K17" s="208">
        <f t="shared" si="3"/>
        <v>0</v>
      </c>
      <c r="L17" s="2"/>
    </row>
    <row r="18" spans="1:12">
      <c r="A18" s="11"/>
      <c r="B18" s="192" t="s">
        <v>57</v>
      </c>
      <c r="C18" s="195"/>
      <c r="D18" s="195"/>
      <c r="E18" s="195"/>
      <c r="F18" s="195"/>
      <c r="G18" s="195"/>
      <c r="H18" s="195"/>
      <c r="I18" s="195"/>
      <c r="J18" s="125"/>
      <c r="K18" s="189"/>
      <c r="L18" s="2"/>
    </row>
    <row r="19" spans="1:12">
      <c r="A19" s="7">
        <v>2</v>
      </c>
      <c r="B19" s="196" t="s">
        <v>58</v>
      </c>
      <c r="C19" s="213" t="s">
        <v>41</v>
      </c>
      <c r="D19" s="196">
        <v>7.56</v>
      </c>
      <c r="E19" s="196"/>
      <c r="F19" s="178">
        <f t="shared" ref="F19:F20" si="5">E19*D19</f>
        <v>0</v>
      </c>
      <c r="G19" s="196" t="s">
        <v>59</v>
      </c>
      <c r="H19" s="213" t="s">
        <v>48</v>
      </c>
      <c r="I19" s="196">
        <v>14</v>
      </c>
      <c r="J19" s="211"/>
      <c r="K19" s="208">
        <f>I19*J19</f>
        <v>0</v>
      </c>
      <c r="L19" s="2"/>
    </row>
    <row r="20" spans="1:12">
      <c r="A20" s="7">
        <v>3</v>
      </c>
      <c r="B20" s="196" t="s">
        <v>60</v>
      </c>
      <c r="C20" s="213" t="s">
        <v>61</v>
      </c>
      <c r="D20" s="196">
        <v>0.3</v>
      </c>
      <c r="E20" s="196"/>
      <c r="F20" s="178">
        <f t="shared" si="5"/>
        <v>0</v>
      </c>
      <c r="G20" s="196" t="s">
        <v>62</v>
      </c>
      <c r="H20" s="213" t="s">
        <v>48</v>
      </c>
      <c r="I20" s="196">
        <v>4</v>
      </c>
      <c r="J20" s="211"/>
      <c r="K20" s="208">
        <f>I20*J20</f>
        <v>0</v>
      </c>
      <c r="L20" s="188"/>
    </row>
    <row r="21" spans="1:12">
      <c r="A21" s="190"/>
      <c r="B21" s="196"/>
      <c r="C21" s="196"/>
      <c r="D21" s="196"/>
      <c r="E21" s="196"/>
      <c r="F21" s="196"/>
      <c r="G21" s="196" t="s">
        <v>63</v>
      </c>
      <c r="H21" s="213" t="s">
        <v>48</v>
      </c>
      <c r="I21" s="196">
        <v>416</v>
      </c>
      <c r="J21" s="211"/>
      <c r="K21" s="208">
        <f>I21*J21</f>
        <v>0</v>
      </c>
      <c r="L21" s="188"/>
    </row>
    <row r="22" spans="1:12">
      <c r="A22" s="190"/>
      <c r="B22" s="196"/>
      <c r="C22" s="196"/>
      <c r="D22" s="196"/>
      <c r="E22" s="196"/>
      <c r="F22" s="196"/>
      <c r="G22" s="196"/>
      <c r="H22" s="196"/>
      <c r="I22" s="196"/>
      <c r="J22" s="211"/>
      <c r="K22" s="208"/>
      <c r="L22" s="188"/>
    </row>
    <row r="23" spans="1:12" ht="14">
      <c r="A23" s="187"/>
      <c r="B23" s="191" t="s">
        <v>64</v>
      </c>
      <c r="C23" s="195"/>
      <c r="D23" s="195"/>
      <c r="E23" s="195"/>
      <c r="F23" s="195"/>
      <c r="G23" s="195"/>
      <c r="H23" s="195"/>
      <c r="I23" s="195"/>
      <c r="J23" s="195"/>
      <c r="K23" s="195"/>
      <c r="L23" s="188"/>
    </row>
    <row r="24" spans="1:12" ht="26">
      <c r="A24" s="7">
        <v>4</v>
      </c>
      <c r="B24" s="206" t="s">
        <v>65</v>
      </c>
      <c r="C24" s="207" t="s">
        <v>48</v>
      </c>
      <c r="D24" s="207">
        <v>2</v>
      </c>
      <c r="E24" s="208"/>
      <c r="F24" s="178">
        <f>D24*E24</f>
        <v>0</v>
      </c>
      <c r="G24" s="209" t="s">
        <v>37</v>
      </c>
      <c r="H24" s="207" t="s">
        <v>66</v>
      </c>
      <c r="I24" s="210">
        <v>4</v>
      </c>
      <c r="J24" s="211"/>
      <c r="K24" s="208">
        <f>I24*J24</f>
        <v>0</v>
      </c>
      <c r="L24" s="2"/>
    </row>
    <row r="25" spans="1:12" ht="14">
      <c r="A25" s="7">
        <v>5</v>
      </c>
      <c r="B25" s="206" t="s">
        <v>67</v>
      </c>
      <c r="C25" s="207" t="s">
        <v>48</v>
      </c>
      <c r="D25" s="207">
        <v>1</v>
      </c>
      <c r="E25" s="208"/>
      <c r="F25" s="178">
        <f t="shared" ref="F25:F27" si="6">D25*E25</f>
        <v>0</v>
      </c>
      <c r="G25" s="209"/>
      <c r="H25" s="207"/>
      <c r="I25" s="210"/>
      <c r="J25" s="211"/>
      <c r="K25" s="208"/>
      <c r="L25" s="2"/>
    </row>
    <row r="26" spans="1:12" ht="14">
      <c r="A26" s="7"/>
      <c r="B26" s="206" t="s">
        <v>68</v>
      </c>
      <c r="C26" s="207" t="s">
        <v>48</v>
      </c>
      <c r="D26" s="207">
        <v>1</v>
      </c>
      <c r="E26" s="208"/>
      <c r="F26" s="178">
        <f t="shared" si="6"/>
        <v>0</v>
      </c>
      <c r="G26" s="209"/>
      <c r="H26" s="207"/>
      <c r="I26" s="210"/>
      <c r="J26" s="211"/>
      <c r="K26" s="208"/>
      <c r="L26" s="2"/>
    </row>
    <row r="27" spans="1:12" ht="14">
      <c r="A27" s="7">
        <v>6</v>
      </c>
      <c r="B27" s="206" t="s">
        <v>69</v>
      </c>
      <c r="C27" s="207" t="s">
        <v>48</v>
      </c>
      <c r="D27" s="207">
        <v>2</v>
      </c>
      <c r="E27" s="208"/>
      <c r="F27" s="178">
        <f t="shared" si="6"/>
        <v>0</v>
      </c>
      <c r="G27" s="209"/>
      <c r="H27" s="207"/>
      <c r="I27" s="210"/>
      <c r="J27" s="211"/>
      <c r="K27" s="208"/>
      <c r="L27" s="2"/>
    </row>
    <row r="28" spans="1:12">
      <c r="A28" s="7"/>
      <c r="B28" s="258"/>
      <c r="C28" s="20"/>
      <c r="D28" s="20"/>
      <c r="E28" s="5"/>
      <c r="F28" s="22"/>
      <c r="G28" s="165"/>
      <c r="H28" s="20"/>
      <c r="I28" s="39"/>
      <c r="J28" s="125"/>
      <c r="K28" s="5"/>
      <c r="L28" s="2"/>
    </row>
    <row r="29" spans="1:12" ht="14">
      <c r="A29" s="7"/>
      <c r="B29" s="191" t="s">
        <v>70</v>
      </c>
      <c r="C29" s="20"/>
      <c r="D29" s="20"/>
      <c r="E29" s="5"/>
      <c r="F29" s="22"/>
      <c r="G29" s="165"/>
      <c r="H29" s="20"/>
      <c r="I29" s="39"/>
      <c r="J29" s="125"/>
      <c r="K29" s="5"/>
      <c r="L29" s="2"/>
    </row>
    <row r="30" spans="1:12" ht="56">
      <c r="A30" s="7">
        <v>7</v>
      </c>
      <c r="B30" s="3" t="s">
        <v>71</v>
      </c>
      <c r="C30" s="21" t="s">
        <v>41</v>
      </c>
      <c r="D30" s="21">
        <v>7.7</v>
      </c>
      <c r="E30" s="22"/>
      <c r="F30" s="22">
        <f>E30*D30</f>
        <v>0</v>
      </c>
      <c r="G30" s="106" t="s">
        <v>72</v>
      </c>
      <c r="H30" s="27" t="s">
        <v>41</v>
      </c>
      <c r="I30" s="40">
        <f>4.2*(D30)</f>
        <v>32.340000000000003</v>
      </c>
      <c r="J30" s="126"/>
      <c r="K30" s="40">
        <f t="shared" ref="K30:K46" si="7">J30*I30</f>
        <v>0</v>
      </c>
      <c r="L30" s="2"/>
    </row>
    <row r="31" spans="1:12" ht="42">
      <c r="A31" s="7"/>
      <c r="B31" s="3"/>
      <c r="C31" s="21"/>
      <c r="D31" s="21"/>
      <c r="E31" s="22"/>
      <c r="F31" s="22"/>
      <c r="G31" s="106" t="s">
        <v>73</v>
      </c>
      <c r="H31" s="70" t="s">
        <v>74</v>
      </c>
      <c r="I31" s="40">
        <f>0.83*D30*1.03</f>
        <v>6.5827299999999997</v>
      </c>
      <c r="J31" s="126"/>
      <c r="K31" s="40">
        <f t="shared" si="7"/>
        <v>0</v>
      </c>
      <c r="L31" s="2"/>
    </row>
    <row r="32" spans="1:12" ht="42">
      <c r="A32" s="7"/>
      <c r="B32" s="3"/>
      <c r="C32" s="21"/>
      <c r="D32" s="21"/>
      <c r="E32" s="22"/>
      <c r="F32" s="22"/>
      <c r="G32" s="106" t="s">
        <v>75</v>
      </c>
      <c r="H32" s="70" t="s">
        <v>74</v>
      </c>
      <c r="I32" s="40">
        <f>2.41*D30*1.03</f>
        <v>19.113710000000001</v>
      </c>
      <c r="J32" s="126"/>
      <c r="K32" s="40">
        <f t="shared" si="7"/>
        <v>0</v>
      </c>
      <c r="L32" s="2"/>
    </row>
    <row r="33" spans="1:12" ht="42">
      <c r="A33" s="7"/>
      <c r="B33" s="3"/>
      <c r="C33" s="21"/>
      <c r="D33" s="21"/>
      <c r="E33" s="22"/>
      <c r="F33" s="22"/>
      <c r="G33" s="106" t="s">
        <v>76</v>
      </c>
      <c r="H33" s="70" t="s">
        <v>48</v>
      </c>
      <c r="I33" s="41">
        <f>2.5*D30</f>
        <v>19.25</v>
      </c>
      <c r="J33" s="126"/>
      <c r="K33" s="40">
        <f t="shared" si="7"/>
        <v>0</v>
      </c>
      <c r="L33" s="2"/>
    </row>
    <row r="34" spans="1:12" ht="56">
      <c r="A34" s="7"/>
      <c r="B34" s="3"/>
      <c r="C34" s="21"/>
      <c r="D34" s="21"/>
      <c r="E34" s="22"/>
      <c r="F34" s="22"/>
      <c r="G34" s="106" t="s">
        <v>77</v>
      </c>
      <c r="H34" s="70" t="s">
        <v>48</v>
      </c>
      <c r="I34" s="41">
        <f>6.07*D30</f>
        <v>46.739000000000004</v>
      </c>
      <c r="J34" s="126"/>
      <c r="K34" s="40">
        <f>J34*I34</f>
        <v>0</v>
      </c>
      <c r="L34" s="2"/>
    </row>
    <row r="35" spans="1:12" ht="56">
      <c r="A35" s="7"/>
      <c r="B35" s="3"/>
      <c r="C35" s="21"/>
      <c r="D35" s="21"/>
      <c r="E35" s="22"/>
      <c r="F35" s="22"/>
      <c r="G35" s="166" t="s">
        <v>78</v>
      </c>
      <c r="H35" s="70" t="s">
        <v>48</v>
      </c>
      <c r="I35" s="41">
        <f>51.3*D30</f>
        <v>395.01</v>
      </c>
      <c r="J35" s="44"/>
      <c r="K35" s="40">
        <f t="shared" si="7"/>
        <v>0</v>
      </c>
      <c r="L35" s="2"/>
    </row>
    <row r="36" spans="1:12" ht="84">
      <c r="A36" s="7"/>
      <c r="B36" s="3"/>
      <c r="C36" s="21"/>
      <c r="D36" s="21"/>
      <c r="E36" s="22"/>
      <c r="F36" s="22"/>
      <c r="G36" s="106" t="s">
        <v>79</v>
      </c>
      <c r="H36" s="70" t="s">
        <v>74</v>
      </c>
      <c r="I36" s="40">
        <f>0.85*D30</f>
        <v>6.5449999999999999</v>
      </c>
      <c r="J36" s="38"/>
      <c r="K36" s="40">
        <f t="shared" si="7"/>
        <v>0</v>
      </c>
      <c r="L36" s="2"/>
    </row>
    <row r="37" spans="1:12">
      <c r="A37" s="7"/>
      <c r="B37" s="3"/>
      <c r="C37" s="21"/>
      <c r="D37" s="21"/>
      <c r="E37" s="22"/>
      <c r="F37" s="22"/>
      <c r="G37" s="161" t="s">
        <v>80</v>
      </c>
      <c r="H37" s="25" t="s">
        <v>41</v>
      </c>
      <c r="I37" s="40">
        <f>1.03*D30</f>
        <v>7.931</v>
      </c>
      <c r="J37" s="127"/>
      <c r="K37" s="40">
        <f t="shared" si="7"/>
        <v>0</v>
      </c>
      <c r="L37" s="2"/>
    </row>
    <row r="38" spans="1:12">
      <c r="A38" s="7"/>
      <c r="B38" s="3"/>
      <c r="C38" s="21"/>
      <c r="D38" s="21"/>
      <c r="E38" s="22"/>
      <c r="F38" s="22"/>
      <c r="G38" s="161"/>
      <c r="H38" s="25"/>
      <c r="I38" s="40"/>
      <c r="J38" s="127"/>
      <c r="K38" s="40"/>
      <c r="L38" s="2"/>
    </row>
    <row r="39" spans="1:12" ht="84">
      <c r="A39" s="7">
        <v>8</v>
      </c>
      <c r="B39" s="3" t="s">
        <v>81</v>
      </c>
      <c r="C39" s="21" t="s">
        <v>41</v>
      </c>
      <c r="D39" s="21">
        <v>54.61</v>
      </c>
      <c r="E39" s="22"/>
      <c r="F39" s="22">
        <f>E39*D39</f>
        <v>0</v>
      </c>
      <c r="G39" s="106" t="s">
        <v>82</v>
      </c>
      <c r="H39" s="27" t="s">
        <v>41</v>
      </c>
      <c r="I39" s="40">
        <f>4.2*(D39)</f>
        <v>229.36199999999999</v>
      </c>
      <c r="J39" s="126"/>
      <c r="K39" s="40">
        <f t="shared" si="7"/>
        <v>0</v>
      </c>
      <c r="L39" s="2"/>
    </row>
    <row r="40" spans="1:12" ht="42">
      <c r="A40" s="7"/>
      <c r="B40" s="3"/>
      <c r="C40" s="21"/>
      <c r="D40" s="21"/>
      <c r="E40" s="22"/>
      <c r="F40" s="22"/>
      <c r="G40" s="106" t="s">
        <v>83</v>
      </c>
      <c r="H40" s="70" t="s">
        <v>74</v>
      </c>
      <c r="I40" s="40">
        <f>0.83*D39*1.03</f>
        <v>46.686088999999996</v>
      </c>
      <c r="J40" s="126"/>
      <c r="K40" s="40">
        <f t="shared" si="7"/>
        <v>0</v>
      </c>
      <c r="L40" s="2"/>
    </row>
    <row r="41" spans="1:12" ht="42">
      <c r="A41" s="7"/>
      <c r="B41" s="3"/>
      <c r="C41" s="21"/>
      <c r="D41" s="21"/>
      <c r="E41" s="22"/>
      <c r="F41" s="22"/>
      <c r="G41" s="106" t="s">
        <v>84</v>
      </c>
      <c r="H41" s="70" t="s">
        <v>74</v>
      </c>
      <c r="I41" s="40">
        <f>2.41*D39*1.03</f>
        <v>135.55840300000003</v>
      </c>
      <c r="J41" s="126"/>
      <c r="K41" s="40">
        <f t="shared" si="7"/>
        <v>0</v>
      </c>
      <c r="L41" s="2"/>
    </row>
    <row r="42" spans="1:12" ht="42">
      <c r="A42" s="7"/>
      <c r="B42" s="3"/>
      <c r="C42" s="21"/>
      <c r="D42" s="21"/>
      <c r="E42" s="22"/>
      <c r="F42" s="22"/>
      <c r="G42" s="106" t="s">
        <v>76</v>
      </c>
      <c r="H42" s="70" t="s">
        <v>48</v>
      </c>
      <c r="I42" s="41">
        <f>2.5*D39</f>
        <v>136.52500000000001</v>
      </c>
      <c r="J42" s="126"/>
      <c r="K42" s="40">
        <f t="shared" si="7"/>
        <v>0</v>
      </c>
      <c r="L42" s="2"/>
    </row>
    <row r="43" spans="1:12" ht="56">
      <c r="A43" s="7"/>
      <c r="B43" s="3"/>
      <c r="C43" s="21"/>
      <c r="D43" s="21"/>
      <c r="E43" s="22"/>
      <c r="F43" s="22"/>
      <c r="G43" s="106" t="s">
        <v>77</v>
      </c>
      <c r="H43" s="70" t="s">
        <v>48</v>
      </c>
      <c r="I43" s="41">
        <f>6.07*D39</f>
        <v>331.48270000000002</v>
      </c>
      <c r="J43" s="126"/>
      <c r="K43" s="40">
        <f t="shared" si="7"/>
        <v>0</v>
      </c>
      <c r="L43" s="2"/>
    </row>
    <row r="44" spans="1:12" ht="56">
      <c r="A44" s="7"/>
      <c r="B44" s="3"/>
      <c r="C44" s="21"/>
      <c r="D44" s="21"/>
      <c r="E44" s="22"/>
      <c r="F44" s="22"/>
      <c r="G44" s="166" t="s">
        <v>78</v>
      </c>
      <c r="H44" s="70" t="s">
        <v>48</v>
      </c>
      <c r="I44" s="41">
        <f>51.3*D39</f>
        <v>2801.4929999999999</v>
      </c>
      <c r="J44" s="44"/>
      <c r="K44" s="40">
        <f t="shared" si="7"/>
        <v>0</v>
      </c>
      <c r="L44" s="2"/>
    </row>
    <row r="45" spans="1:12" ht="84">
      <c r="A45" s="7"/>
      <c r="B45" s="3"/>
      <c r="C45" s="21"/>
      <c r="D45" s="21"/>
      <c r="E45" s="22"/>
      <c r="F45" s="22"/>
      <c r="G45" s="106" t="s">
        <v>85</v>
      </c>
      <c r="H45" s="70" t="s">
        <v>74</v>
      </c>
      <c r="I45" s="40">
        <f>0.85*D39</f>
        <v>46.418500000000002</v>
      </c>
      <c r="J45" s="38"/>
      <c r="K45" s="40">
        <f t="shared" si="7"/>
        <v>0</v>
      </c>
      <c r="L45" s="2"/>
    </row>
    <row r="46" spans="1:12">
      <c r="A46" s="7"/>
      <c r="B46" s="3"/>
      <c r="C46" s="21"/>
      <c r="D46" s="21"/>
      <c r="E46" s="22"/>
      <c r="F46" s="22"/>
      <c r="G46" s="161" t="s">
        <v>86</v>
      </c>
      <c r="H46" s="25" t="s">
        <v>41</v>
      </c>
      <c r="I46" s="40">
        <f>1.03*D39</f>
        <v>56.2483</v>
      </c>
      <c r="J46" s="127"/>
      <c r="K46" s="40">
        <f t="shared" si="7"/>
        <v>0</v>
      </c>
      <c r="L46" s="2"/>
    </row>
    <row r="47" spans="1:12">
      <c r="A47" s="7"/>
      <c r="B47" s="3"/>
      <c r="C47" s="21"/>
      <c r="D47" s="22"/>
      <c r="E47" s="22"/>
      <c r="F47" s="22"/>
      <c r="G47" s="258"/>
      <c r="H47" s="259"/>
      <c r="I47" s="40"/>
      <c r="J47" s="127"/>
      <c r="K47" s="40"/>
      <c r="L47" s="2"/>
    </row>
    <row r="48" spans="1:12" ht="84">
      <c r="A48" s="7">
        <v>9</v>
      </c>
      <c r="B48" s="3" t="s">
        <v>87</v>
      </c>
      <c r="C48" s="21" t="s">
        <v>41</v>
      </c>
      <c r="D48" s="21">
        <v>43</v>
      </c>
      <c r="E48" s="22"/>
      <c r="F48" s="22">
        <f>E48*D48</f>
        <v>0</v>
      </c>
      <c r="G48" s="106" t="s">
        <v>88</v>
      </c>
      <c r="H48" s="27" t="s">
        <v>41</v>
      </c>
      <c r="I48" s="40">
        <f>4.2*(D48)</f>
        <v>180.6</v>
      </c>
      <c r="J48" s="126"/>
      <c r="K48" s="40">
        <f t="shared" ref="K48:K55" si="8">J48*I48</f>
        <v>0</v>
      </c>
      <c r="L48" s="1"/>
    </row>
    <row r="49" spans="1:12" ht="42">
      <c r="A49" s="7"/>
      <c r="B49" s="3"/>
      <c r="C49" s="21"/>
      <c r="D49" s="21"/>
      <c r="E49" s="22"/>
      <c r="F49" s="22"/>
      <c r="G49" s="106" t="s">
        <v>83</v>
      </c>
      <c r="H49" s="70" t="s">
        <v>74</v>
      </c>
      <c r="I49" s="40">
        <f>0.83*D48*1.03</f>
        <v>36.7607</v>
      </c>
      <c r="J49" s="126"/>
      <c r="K49" s="40">
        <f t="shared" si="8"/>
        <v>0</v>
      </c>
      <c r="L49" s="1"/>
    </row>
    <row r="50" spans="1:12" ht="42">
      <c r="A50" s="7"/>
      <c r="B50" s="3"/>
      <c r="C50" s="21"/>
      <c r="D50" s="21"/>
      <c r="E50" s="22"/>
      <c r="F50" s="22"/>
      <c r="G50" s="106" t="s">
        <v>84</v>
      </c>
      <c r="H50" s="70" t="s">
        <v>74</v>
      </c>
      <c r="I50" s="40">
        <f>2.41*D48*1.03</f>
        <v>106.73890000000002</v>
      </c>
      <c r="J50" s="126"/>
      <c r="K50" s="40">
        <f t="shared" si="8"/>
        <v>0</v>
      </c>
      <c r="L50" s="1"/>
    </row>
    <row r="51" spans="1:12" ht="42">
      <c r="A51" s="7"/>
      <c r="B51" s="3"/>
      <c r="C51" s="21"/>
      <c r="D51" s="21"/>
      <c r="E51" s="22"/>
      <c r="F51" s="22"/>
      <c r="G51" s="106" t="s">
        <v>76</v>
      </c>
      <c r="H51" s="70" t="s">
        <v>48</v>
      </c>
      <c r="I51" s="41">
        <f>2.5*D48</f>
        <v>107.5</v>
      </c>
      <c r="J51" s="126"/>
      <c r="K51" s="40">
        <f t="shared" si="8"/>
        <v>0</v>
      </c>
      <c r="L51" s="1"/>
    </row>
    <row r="52" spans="1:12" ht="56">
      <c r="A52" s="7"/>
      <c r="B52" s="3"/>
      <c r="C52" s="21"/>
      <c r="D52" s="21"/>
      <c r="E52" s="22"/>
      <c r="F52" s="22"/>
      <c r="G52" s="106" t="s">
        <v>77</v>
      </c>
      <c r="H52" s="70" t="s">
        <v>48</v>
      </c>
      <c r="I52" s="41">
        <f>6.07*D48</f>
        <v>261.01</v>
      </c>
      <c r="J52" s="126"/>
      <c r="K52" s="40">
        <f t="shared" si="8"/>
        <v>0</v>
      </c>
      <c r="L52" s="1"/>
    </row>
    <row r="53" spans="1:12" ht="56">
      <c r="A53" s="7"/>
      <c r="B53" s="3"/>
      <c r="C53" s="21"/>
      <c r="D53" s="21"/>
      <c r="E53" s="22"/>
      <c r="F53" s="22"/>
      <c r="G53" s="166" t="s">
        <v>78</v>
      </c>
      <c r="H53" s="70" t="s">
        <v>48</v>
      </c>
      <c r="I53" s="41">
        <f>51.3*D48</f>
        <v>2205.9</v>
      </c>
      <c r="J53" s="44"/>
      <c r="K53" s="40">
        <f t="shared" si="8"/>
        <v>0</v>
      </c>
      <c r="L53" s="2"/>
    </row>
    <row r="54" spans="1:12" ht="84">
      <c r="A54" s="7"/>
      <c r="B54" s="3"/>
      <c r="C54" s="21"/>
      <c r="D54" s="21"/>
      <c r="E54" s="22"/>
      <c r="F54" s="22"/>
      <c r="G54" s="106" t="s">
        <v>85</v>
      </c>
      <c r="H54" s="70" t="s">
        <v>74</v>
      </c>
      <c r="I54" s="40">
        <f>0.85*D48+3</f>
        <v>39.549999999999997</v>
      </c>
      <c r="J54" s="38"/>
      <c r="K54" s="40">
        <f t="shared" si="8"/>
        <v>0</v>
      </c>
      <c r="L54" s="2"/>
    </row>
    <row r="55" spans="1:12">
      <c r="A55" s="7"/>
      <c r="B55" s="3"/>
      <c r="C55" s="21"/>
      <c r="D55" s="21"/>
      <c r="E55" s="22"/>
      <c r="F55" s="22"/>
      <c r="G55" s="161" t="s">
        <v>86</v>
      </c>
      <c r="H55" s="25" t="s">
        <v>41</v>
      </c>
      <c r="I55" s="40">
        <f>1.03*D48</f>
        <v>44.29</v>
      </c>
      <c r="J55" s="127"/>
      <c r="K55" s="40">
        <f t="shared" si="8"/>
        <v>0</v>
      </c>
      <c r="L55" s="2"/>
    </row>
    <row r="56" spans="1:12">
      <c r="A56" s="7"/>
      <c r="B56" s="3"/>
      <c r="C56" s="21"/>
      <c r="D56" s="21"/>
      <c r="E56" s="22"/>
      <c r="F56" s="22"/>
      <c r="G56" s="161" t="s">
        <v>89</v>
      </c>
      <c r="H56" s="25" t="s">
        <v>48</v>
      </c>
      <c r="I56" s="40">
        <v>2</v>
      </c>
      <c r="J56" s="127"/>
      <c r="K56" s="40">
        <f>J56*I56</f>
        <v>0</v>
      </c>
      <c r="L56" s="2"/>
    </row>
    <row r="57" spans="1:12">
      <c r="A57" s="7"/>
      <c r="B57" s="3"/>
      <c r="C57" s="21"/>
      <c r="D57" s="21"/>
      <c r="E57" s="22"/>
      <c r="F57" s="22"/>
      <c r="G57" s="161"/>
      <c r="H57" s="25"/>
      <c r="I57" s="40"/>
      <c r="J57" s="127"/>
      <c r="K57" s="40"/>
      <c r="L57" s="2"/>
    </row>
    <row r="58" spans="1:12" ht="56">
      <c r="A58" s="7">
        <v>10</v>
      </c>
      <c r="B58" s="3" t="s">
        <v>90</v>
      </c>
      <c r="C58" s="21" t="s">
        <v>41</v>
      </c>
      <c r="D58" s="21">
        <v>190.75</v>
      </c>
      <c r="E58" s="22"/>
      <c r="F58" s="22">
        <f>E58*D58</f>
        <v>0</v>
      </c>
      <c r="G58" s="106" t="s">
        <v>72</v>
      </c>
      <c r="H58" s="27" t="s">
        <v>41</v>
      </c>
      <c r="I58" s="40">
        <f>4.2*(D58)</f>
        <v>801.15</v>
      </c>
      <c r="J58" s="126"/>
      <c r="K58" s="40">
        <f t="shared" ref="K58:K65" si="9">J58*I58</f>
        <v>0</v>
      </c>
      <c r="L58" s="2"/>
    </row>
    <row r="59" spans="1:12" ht="42">
      <c r="A59" s="7"/>
      <c r="B59" s="3"/>
      <c r="C59" s="21"/>
      <c r="D59" s="21"/>
      <c r="E59" s="22"/>
      <c r="F59" s="22"/>
      <c r="G59" s="106" t="s">
        <v>83</v>
      </c>
      <c r="H59" s="70" t="s">
        <v>74</v>
      </c>
      <c r="I59" s="40">
        <f>0.83*D58*1.03</f>
        <v>163.07217499999999</v>
      </c>
      <c r="J59" s="126"/>
      <c r="K59" s="40">
        <f t="shared" si="9"/>
        <v>0</v>
      </c>
      <c r="L59" s="2"/>
    </row>
    <row r="60" spans="1:12" ht="42">
      <c r="A60" s="7"/>
      <c r="B60" s="3"/>
      <c r="C60" s="21"/>
      <c r="D60" s="21"/>
      <c r="E60" s="22"/>
      <c r="F60" s="22"/>
      <c r="G60" s="106" t="s">
        <v>84</v>
      </c>
      <c r="H60" s="70" t="s">
        <v>74</v>
      </c>
      <c r="I60" s="40">
        <f>2.41*D58*1.03</f>
        <v>473.49872500000004</v>
      </c>
      <c r="J60" s="126"/>
      <c r="K60" s="40">
        <f t="shared" si="9"/>
        <v>0</v>
      </c>
      <c r="L60" s="2"/>
    </row>
    <row r="61" spans="1:12" ht="42">
      <c r="A61" s="7"/>
      <c r="B61" s="3"/>
      <c r="C61" s="21"/>
      <c r="D61" s="21"/>
      <c r="E61" s="22"/>
      <c r="F61" s="22"/>
      <c r="G61" s="106" t="s">
        <v>76</v>
      </c>
      <c r="H61" s="70" t="s">
        <v>48</v>
      </c>
      <c r="I61" s="41">
        <f>2.5*D58</f>
        <v>476.875</v>
      </c>
      <c r="J61" s="126"/>
      <c r="K61" s="40">
        <f t="shared" si="9"/>
        <v>0</v>
      </c>
      <c r="L61" s="2"/>
    </row>
    <row r="62" spans="1:12" ht="56">
      <c r="A62" s="7"/>
      <c r="B62" s="3"/>
      <c r="C62" s="21"/>
      <c r="D62" s="21"/>
      <c r="E62" s="22"/>
      <c r="F62" s="22"/>
      <c r="G62" s="106" t="s">
        <v>77</v>
      </c>
      <c r="H62" s="70" t="s">
        <v>48</v>
      </c>
      <c r="I62" s="41">
        <f>6.07*D58</f>
        <v>1157.8525</v>
      </c>
      <c r="J62" s="126"/>
      <c r="K62" s="40">
        <f t="shared" si="9"/>
        <v>0</v>
      </c>
      <c r="L62" s="2"/>
    </row>
    <row r="63" spans="1:12" ht="56">
      <c r="A63" s="7"/>
      <c r="B63" s="3"/>
      <c r="C63" s="21"/>
      <c r="D63" s="21"/>
      <c r="E63" s="22"/>
      <c r="F63" s="22"/>
      <c r="G63" s="166" t="s">
        <v>78</v>
      </c>
      <c r="H63" s="70" t="s">
        <v>48</v>
      </c>
      <c r="I63" s="41">
        <f>51.3*D58</f>
        <v>9785.4750000000004</v>
      </c>
      <c r="J63" s="44"/>
      <c r="K63" s="40">
        <f t="shared" si="9"/>
        <v>0</v>
      </c>
      <c r="L63" s="2"/>
    </row>
    <row r="64" spans="1:12" ht="84">
      <c r="A64" s="7"/>
      <c r="B64" s="3"/>
      <c r="C64" s="21"/>
      <c r="D64" s="21"/>
      <c r="E64" s="22"/>
      <c r="F64" s="22"/>
      <c r="G64" s="106" t="s">
        <v>85</v>
      </c>
      <c r="H64" s="70" t="s">
        <v>74</v>
      </c>
      <c r="I64" s="40">
        <f>0.85*D58</f>
        <v>162.13749999999999</v>
      </c>
      <c r="J64" s="38"/>
      <c r="K64" s="40">
        <f t="shared" si="9"/>
        <v>0</v>
      </c>
      <c r="L64" s="2"/>
    </row>
    <row r="65" spans="1:12">
      <c r="A65" s="7"/>
      <c r="B65" s="3"/>
      <c r="C65" s="21"/>
      <c r="D65" s="21"/>
      <c r="E65" s="22"/>
      <c r="F65" s="22"/>
      <c r="G65" s="161" t="s">
        <v>86</v>
      </c>
      <c r="H65" s="25" t="s">
        <v>41</v>
      </c>
      <c r="I65" s="40">
        <f>1.03*D58</f>
        <v>196.4725</v>
      </c>
      <c r="J65" s="127"/>
      <c r="K65" s="40">
        <f t="shared" si="9"/>
        <v>0</v>
      </c>
      <c r="L65" s="2"/>
    </row>
    <row r="66" spans="1:12">
      <c r="A66" s="7"/>
      <c r="B66" s="3"/>
      <c r="C66" s="62"/>
      <c r="D66" s="22"/>
      <c r="E66" s="22"/>
      <c r="F66" s="22"/>
      <c r="G66" s="161" t="s">
        <v>89</v>
      </c>
      <c r="H66" s="25" t="s">
        <v>48</v>
      </c>
      <c r="I66" s="40">
        <v>2</v>
      </c>
      <c r="J66" s="127"/>
      <c r="K66" s="40">
        <f>J66*I66</f>
        <v>0</v>
      </c>
      <c r="L66" s="2"/>
    </row>
    <row r="67" spans="1:12">
      <c r="A67" s="7"/>
      <c r="B67" s="3"/>
      <c r="C67" s="62"/>
      <c r="D67" s="22"/>
      <c r="E67" s="22"/>
      <c r="F67" s="22"/>
      <c r="G67" s="161"/>
      <c r="H67" s="25"/>
      <c r="I67" s="40"/>
      <c r="J67" s="127"/>
      <c r="K67" s="40"/>
      <c r="L67" s="2"/>
    </row>
    <row r="68" spans="1:12" ht="70">
      <c r="A68" s="7">
        <v>11</v>
      </c>
      <c r="B68" s="3" t="s">
        <v>91</v>
      </c>
      <c r="C68" s="21" t="s">
        <v>41</v>
      </c>
      <c r="D68" s="21">
        <v>29.16</v>
      </c>
      <c r="E68" s="22"/>
      <c r="F68" s="22">
        <f>E68*D68</f>
        <v>0</v>
      </c>
      <c r="G68" s="106" t="s">
        <v>72</v>
      </c>
      <c r="H68" s="27" t="s">
        <v>41</v>
      </c>
      <c r="I68" s="40">
        <f>4.2*(D68)+5</f>
        <v>127.47200000000001</v>
      </c>
      <c r="J68" s="126"/>
      <c r="K68" s="40">
        <f t="shared" ref="K68:K76" si="10">J68*I68</f>
        <v>0</v>
      </c>
      <c r="L68" s="2"/>
    </row>
    <row r="69" spans="1:12" ht="42">
      <c r="A69" s="7"/>
      <c r="B69" s="3"/>
      <c r="C69" s="21"/>
      <c r="D69" s="21"/>
      <c r="E69" s="22"/>
      <c r="F69" s="22"/>
      <c r="G69" s="106" t="s">
        <v>83</v>
      </c>
      <c r="H69" s="70" t="s">
        <v>74</v>
      </c>
      <c r="I69" s="40">
        <f>1.03*37</f>
        <v>38.11</v>
      </c>
      <c r="J69" s="126"/>
      <c r="K69" s="40">
        <f t="shared" si="10"/>
        <v>0</v>
      </c>
      <c r="L69" s="2"/>
    </row>
    <row r="70" spans="1:12" ht="42">
      <c r="A70" s="7"/>
      <c r="B70" s="3"/>
      <c r="C70" s="21"/>
      <c r="D70" s="21"/>
      <c r="E70" s="22"/>
      <c r="F70" s="22"/>
      <c r="G70" s="106" t="s">
        <v>84</v>
      </c>
      <c r="H70" s="70" t="s">
        <v>74</v>
      </c>
      <c r="I70" s="40">
        <f>2.41*D68*1.13</f>
        <v>79.411428000000001</v>
      </c>
      <c r="J70" s="126"/>
      <c r="K70" s="40">
        <f t="shared" si="10"/>
        <v>0</v>
      </c>
      <c r="L70" s="2"/>
    </row>
    <row r="71" spans="1:12" ht="42">
      <c r="A71" s="7"/>
      <c r="B71" s="3"/>
      <c r="C71" s="21"/>
      <c r="D71" s="21"/>
      <c r="E71" s="22"/>
      <c r="F71" s="22"/>
      <c r="G71" s="106" t="s">
        <v>76</v>
      </c>
      <c r="H71" s="70" t="s">
        <v>48</v>
      </c>
      <c r="I71" s="41">
        <f>2.5*D68</f>
        <v>72.900000000000006</v>
      </c>
      <c r="J71" s="126"/>
      <c r="K71" s="40">
        <f t="shared" si="10"/>
        <v>0</v>
      </c>
      <c r="L71" s="2"/>
    </row>
    <row r="72" spans="1:12" ht="56">
      <c r="A72" s="7"/>
      <c r="B72" s="3"/>
      <c r="C72" s="21"/>
      <c r="D72" s="21"/>
      <c r="E72" s="22"/>
      <c r="F72" s="22"/>
      <c r="G72" s="106" t="s">
        <v>77</v>
      </c>
      <c r="H72" s="70" t="s">
        <v>48</v>
      </c>
      <c r="I72" s="41">
        <f>6.07*D68*1.1</f>
        <v>194.70132000000004</v>
      </c>
      <c r="J72" s="126"/>
      <c r="K72" s="40">
        <f t="shared" si="10"/>
        <v>0</v>
      </c>
      <c r="L72" s="2"/>
    </row>
    <row r="73" spans="1:12" ht="56">
      <c r="A73" s="7"/>
      <c r="B73" s="3"/>
      <c r="C73" s="21"/>
      <c r="D73" s="21"/>
      <c r="E73" s="22"/>
      <c r="F73" s="22"/>
      <c r="G73" s="166" t="s">
        <v>78</v>
      </c>
      <c r="H73" s="70" t="s">
        <v>48</v>
      </c>
      <c r="I73" s="41">
        <f>51.3*D68+420</f>
        <v>1915.9079999999999</v>
      </c>
      <c r="J73" s="44"/>
      <c r="K73" s="40">
        <f t="shared" si="10"/>
        <v>0</v>
      </c>
      <c r="L73" s="2"/>
    </row>
    <row r="74" spans="1:12" ht="84">
      <c r="A74" s="7"/>
      <c r="B74" s="3"/>
      <c r="C74" s="21"/>
      <c r="D74" s="21"/>
      <c r="E74" s="22"/>
      <c r="F74" s="22"/>
      <c r="G74" s="106" t="s">
        <v>85</v>
      </c>
      <c r="H74" s="70" t="s">
        <v>74</v>
      </c>
      <c r="I74" s="40">
        <v>39</v>
      </c>
      <c r="J74" s="38"/>
      <c r="K74" s="40">
        <f t="shared" si="10"/>
        <v>0</v>
      </c>
      <c r="L74" s="2"/>
    </row>
    <row r="75" spans="1:12">
      <c r="A75" s="7"/>
      <c r="B75" s="3"/>
      <c r="C75" s="21"/>
      <c r="D75" s="21"/>
      <c r="E75" s="22"/>
      <c r="F75" s="22"/>
      <c r="G75" s="161" t="s">
        <v>86</v>
      </c>
      <c r="H75" s="25" t="s">
        <v>41</v>
      </c>
      <c r="I75" s="40">
        <f>1.03*D68</f>
        <v>30.034800000000001</v>
      </c>
      <c r="J75" s="127"/>
      <c r="K75" s="40">
        <f t="shared" si="10"/>
        <v>0</v>
      </c>
      <c r="L75" s="2"/>
    </row>
    <row r="76" spans="1:12" ht="42">
      <c r="A76" s="7"/>
      <c r="B76" s="3"/>
      <c r="C76" s="62"/>
      <c r="D76" s="22"/>
      <c r="E76" s="22"/>
      <c r="F76" s="22"/>
      <c r="G76" s="106" t="s">
        <v>92</v>
      </c>
      <c r="H76" s="70" t="s">
        <v>74</v>
      </c>
      <c r="I76" s="40">
        <v>39</v>
      </c>
      <c r="J76" s="126"/>
      <c r="K76" s="40">
        <f t="shared" si="10"/>
        <v>0</v>
      </c>
      <c r="L76" s="2"/>
    </row>
    <row r="77" spans="1:12" ht="84">
      <c r="A77" s="7"/>
      <c r="B77" s="3"/>
      <c r="C77" s="62"/>
      <c r="D77" s="22"/>
      <c r="E77" s="22"/>
      <c r="F77" s="22"/>
      <c r="G77" s="258" t="s">
        <v>93</v>
      </c>
      <c r="H77" s="259" t="s">
        <v>61</v>
      </c>
      <c r="I77" s="142">
        <f>0.1*0.075*21</f>
        <v>0.1575</v>
      </c>
      <c r="J77" s="127"/>
      <c r="K77" s="40">
        <f>J77*I77</f>
        <v>0</v>
      </c>
      <c r="L77" s="2"/>
    </row>
    <row r="78" spans="1:12">
      <c r="A78" s="7"/>
      <c r="B78" s="3"/>
      <c r="C78" s="62"/>
      <c r="D78" s="22"/>
      <c r="E78" s="22"/>
      <c r="F78" s="22"/>
      <c r="G78" s="258"/>
      <c r="H78" s="259"/>
      <c r="I78" s="142"/>
      <c r="J78" s="127"/>
      <c r="K78" s="40"/>
      <c r="L78" s="2"/>
    </row>
    <row r="79" spans="1:12" ht="56">
      <c r="A79" s="7">
        <v>12</v>
      </c>
      <c r="B79" s="3" t="s">
        <v>94</v>
      </c>
      <c r="C79" s="21" t="s">
        <v>41</v>
      </c>
      <c r="D79" s="21">
        <v>2.96</v>
      </c>
      <c r="E79" s="22"/>
      <c r="F79" s="22">
        <f>E79*D79</f>
        <v>0</v>
      </c>
      <c r="G79" s="106" t="s">
        <v>72</v>
      </c>
      <c r="H79" s="27" t="s">
        <v>41</v>
      </c>
      <c r="I79" s="40">
        <f>4.2*(D79)+0.8</f>
        <v>13.232000000000001</v>
      </c>
      <c r="J79" s="126"/>
      <c r="K79" s="40">
        <f t="shared" ref="K79:K86" si="11">J79*I79</f>
        <v>0</v>
      </c>
      <c r="L79" s="2"/>
    </row>
    <row r="80" spans="1:12" ht="42">
      <c r="A80" s="7"/>
      <c r="B80" s="3"/>
      <c r="C80" s="21"/>
      <c r="D80" s="21"/>
      <c r="E80" s="22"/>
      <c r="F80" s="22"/>
      <c r="G80" s="106" t="s">
        <v>83</v>
      </c>
      <c r="H80" s="70" t="s">
        <v>74</v>
      </c>
      <c r="I80" s="40">
        <v>7</v>
      </c>
      <c r="J80" s="126"/>
      <c r="K80" s="40">
        <f t="shared" si="11"/>
        <v>0</v>
      </c>
      <c r="L80" s="2"/>
    </row>
    <row r="81" spans="1:12" ht="42">
      <c r="A81" s="7"/>
      <c r="B81" s="3"/>
      <c r="C81" s="21"/>
      <c r="D81" s="21"/>
      <c r="E81" s="22"/>
      <c r="F81" s="22"/>
      <c r="G81" s="106" t="s">
        <v>84</v>
      </c>
      <c r="H81" s="70" t="s">
        <v>74</v>
      </c>
      <c r="I81" s="40">
        <f>2.41*D79*1.03</f>
        <v>7.347608000000001</v>
      </c>
      <c r="J81" s="126"/>
      <c r="K81" s="40">
        <f t="shared" si="11"/>
        <v>0</v>
      </c>
      <c r="L81" s="2"/>
    </row>
    <row r="82" spans="1:12" ht="42">
      <c r="A82" s="7"/>
      <c r="B82" s="3"/>
      <c r="C82" s="21"/>
      <c r="D82" s="21"/>
      <c r="E82" s="22"/>
      <c r="F82" s="22"/>
      <c r="G82" s="106" t="s">
        <v>76</v>
      </c>
      <c r="H82" s="70" t="s">
        <v>48</v>
      </c>
      <c r="I82" s="41">
        <f>2.5*D79</f>
        <v>7.4</v>
      </c>
      <c r="J82" s="126"/>
      <c r="K82" s="40">
        <f t="shared" si="11"/>
        <v>0</v>
      </c>
      <c r="L82" s="2"/>
    </row>
    <row r="83" spans="1:12" ht="56">
      <c r="A83" s="7"/>
      <c r="B83" s="3"/>
      <c r="C83" s="21"/>
      <c r="D83" s="21"/>
      <c r="E83" s="22"/>
      <c r="F83" s="22"/>
      <c r="G83" s="106" t="s">
        <v>77</v>
      </c>
      <c r="H83" s="70" t="s">
        <v>48</v>
      </c>
      <c r="I83" s="41">
        <f>6.07*D79</f>
        <v>17.967200000000002</v>
      </c>
      <c r="J83" s="126"/>
      <c r="K83" s="40">
        <f t="shared" si="11"/>
        <v>0</v>
      </c>
      <c r="L83" s="2"/>
    </row>
    <row r="84" spans="1:12" ht="56">
      <c r="A84" s="7"/>
      <c r="B84" s="3"/>
      <c r="C84" s="21"/>
      <c r="D84" s="21"/>
      <c r="E84" s="22"/>
      <c r="F84" s="22"/>
      <c r="G84" s="166" t="s">
        <v>78</v>
      </c>
      <c r="H84" s="70" t="s">
        <v>48</v>
      </c>
      <c r="I84" s="41">
        <f>51.3*D79+35</f>
        <v>186.84799999999998</v>
      </c>
      <c r="J84" s="44"/>
      <c r="K84" s="40">
        <f t="shared" si="11"/>
        <v>0</v>
      </c>
      <c r="L84" s="2"/>
    </row>
    <row r="85" spans="1:12" ht="84">
      <c r="A85" s="7"/>
      <c r="B85" s="3"/>
      <c r="C85" s="21"/>
      <c r="D85" s="21"/>
      <c r="E85" s="22"/>
      <c r="F85" s="22"/>
      <c r="G85" s="106" t="s">
        <v>85</v>
      </c>
      <c r="H85" s="70" t="s">
        <v>74</v>
      </c>
      <c r="I85" s="40">
        <f>I80</f>
        <v>7</v>
      </c>
      <c r="J85" s="38"/>
      <c r="K85" s="40">
        <f t="shared" si="11"/>
        <v>0</v>
      </c>
      <c r="L85" s="2"/>
    </row>
    <row r="86" spans="1:12">
      <c r="A86" s="7"/>
      <c r="B86" s="3"/>
      <c r="C86" s="21"/>
      <c r="D86" s="21"/>
      <c r="E86" s="22"/>
      <c r="F86" s="22"/>
      <c r="G86" s="161" t="s">
        <v>86</v>
      </c>
      <c r="H86" s="25" t="s">
        <v>41</v>
      </c>
      <c r="I86" s="40">
        <f>1.03*D79</f>
        <v>3.0488</v>
      </c>
      <c r="J86" s="127"/>
      <c r="K86" s="40">
        <f t="shared" si="11"/>
        <v>0</v>
      </c>
      <c r="L86" s="2"/>
    </row>
    <row r="87" spans="1:12">
      <c r="A87" s="7"/>
      <c r="B87" s="3"/>
      <c r="C87" s="62"/>
      <c r="D87" s="22"/>
      <c r="E87" s="22"/>
      <c r="F87" s="22"/>
      <c r="G87" s="258"/>
      <c r="H87" s="259"/>
      <c r="I87" s="142"/>
      <c r="J87" s="127"/>
      <c r="K87" s="40"/>
      <c r="L87" s="2"/>
    </row>
    <row r="88" spans="1:12" ht="84">
      <c r="A88" s="7">
        <v>13</v>
      </c>
      <c r="B88" s="3" t="s">
        <v>95</v>
      </c>
      <c r="C88" s="21" t="s">
        <v>41</v>
      </c>
      <c r="D88" s="21">
        <v>19.239999999999998</v>
      </c>
      <c r="E88" s="22"/>
      <c r="F88" s="22">
        <f>E88*D88</f>
        <v>0</v>
      </c>
      <c r="G88" s="106" t="s">
        <v>82</v>
      </c>
      <c r="H88" s="27" t="s">
        <v>41</v>
      </c>
      <c r="I88" s="40">
        <f>2.1*(D88)</f>
        <v>40.403999999999996</v>
      </c>
      <c r="J88" s="126"/>
      <c r="K88" s="40">
        <f t="shared" ref="K88:K95" si="12">J88*I88</f>
        <v>0</v>
      </c>
      <c r="L88" s="2"/>
    </row>
    <row r="89" spans="1:12" ht="42">
      <c r="A89" s="8"/>
      <c r="B89" s="3"/>
      <c r="C89" s="21"/>
      <c r="D89" s="21"/>
      <c r="E89" s="22"/>
      <c r="F89" s="22"/>
      <c r="G89" s="106" t="s">
        <v>83</v>
      </c>
      <c r="H89" s="70" t="s">
        <v>74</v>
      </c>
      <c r="I89" s="40">
        <f>0.83*D88*1.03</f>
        <v>16.448275999999996</v>
      </c>
      <c r="J89" s="126"/>
      <c r="K89" s="40">
        <f t="shared" si="12"/>
        <v>0</v>
      </c>
      <c r="L89" s="9"/>
    </row>
    <row r="90" spans="1:12" ht="42">
      <c r="A90" s="8"/>
      <c r="B90" s="3"/>
      <c r="C90" s="21"/>
      <c r="D90" s="21"/>
      <c r="E90" s="22"/>
      <c r="F90" s="22"/>
      <c r="G90" s="106" t="s">
        <v>84</v>
      </c>
      <c r="H90" s="70" t="s">
        <v>74</v>
      </c>
      <c r="I90" s="40">
        <f>2.41*D88*1.03</f>
        <v>47.759452000000003</v>
      </c>
      <c r="J90" s="126"/>
      <c r="K90" s="40">
        <f t="shared" si="12"/>
        <v>0</v>
      </c>
      <c r="L90" s="2"/>
    </row>
    <row r="91" spans="1:12" ht="42">
      <c r="A91" s="8"/>
      <c r="B91" s="3"/>
      <c r="C91" s="21"/>
      <c r="D91" s="21"/>
      <c r="E91" s="22"/>
      <c r="F91" s="22"/>
      <c r="G91" s="106" t="s">
        <v>76</v>
      </c>
      <c r="H91" s="70" t="s">
        <v>48</v>
      </c>
      <c r="I91" s="41">
        <f>2.5*D88</f>
        <v>48.099999999999994</v>
      </c>
      <c r="J91" s="126"/>
      <c r="K91" s="40">
        <f t="shared" si="12"/>
        <v>0</v>
      </c>
      <c r="L91" s="2"/>
    </row>
    <row r="92" spans="1:12" ht="56">
      <c r="A92" s="8"/>
      <c r="B92" s="3"/>
      <c r="C92" s="21"/>
      <c r="D92" s="21"/>
      <c r="E92" s="22"/>
      <c r="F92" s="22"/>
      <c r="G92" s="106" t="s">
        <v>77</v>
      </c>
      <c r="H92" s="70" t="s">
        <v>48</v>
      </c>
      <c r="I92" s="41">
        <f>6.07*D88</f>
        <v>116.7868</v>
      </c>
      <c r="J92" s="126"/>
      <c r="K92" s="40">
        <f t="shared" si="12"/>
        <v>0</v>
      </c>
      <c r="L92" s="2"/>
    </row>
    <row r="93" spans="1:12" ht="56">
      <c r="A93" s="8"/>
      <c r="B93" s="3"/>
      <c r="C93" s="21"/>
      <c r="D93" s="21"/>
      <c r="E93" s="22"/>
      <c r="F93" s="22"/>
      <c r="G93" s="166" t="s">
        <v>96</v>
      </c>
      <c r="H93" s="70" t="s">
        <v>48</v>
      </c>
      <c r="I93" s="41">
        <f>37.3*D88</f>
        <v>717.65199999999993</v>
      </c>
      <c r="J93" s="44"/>
      <c r="K93" s="40">
        <f t="shared" si="12"/>
        <v>0</v>
      </c>
      <c r="L93" s="2"/>
    </row>
    <row r="94" spans="1:12" ht="84">
      <c r="A94" s="8"/>
      <c r="B94" s="3"/>
      <c r="C94" s="21"/>
      <c r="D94" s="21"/>
      <c r="E94" s="22"/>
      <c r="F94" s="22"/>
      <c r="G94" s="106" t="s">
        <v>85</v>
      </c>
      <c r="H94" s="70" t="s">
        <v>74</v>
      </c>
      <c r="I94" s="40">
        <f>0.85*D88</f>
        <v>16.353999999999999</v>
      </c>
      <c r="J94" s="38"/>
      <c r="K94" s="40">
        <f t="shared" si="12"/>
        <v>0</v>
      </c>
      <c r="L94" s="2"/>
    </row>
    <row r="95" spans="1:12">
      <c r="A95" s="8"/>
      <c r="B95" s="3"/>
      <c r="C95" s="21"/>
      <c r="D95" s="21"/>
      <c r="E95" s="22"/>
      <c r="F95" s="22"/>
      <c r="G95" s="161" t="s">
        <v>97</v>
      </c>
      <c r="H95" s="25" t="s">
        <v>41</v>
      </c>
      <c r="I95" s="40">
        <f>1.03*D88</f>
        <v>19.8172</v>
      </c>
      <c r="J95" s="127"/>
      <c r="K95" s="40">
        <f t="shared" si="12"/>
        <v>0</v>
      </c>
      <c r="L95" s="2"/>
    </row>
    <row r="96" spans="1:12">
      <c r="A96" s="8"/>
      <c r="B96" s="3"/>
      <c r="C96" s="21"/>
      <c r="D96" s="21"/>
      <c r="E96" s="22"/>
      <c r="F96" s="22"/>
      <c r="G96" s="161"/>
      <c r="H96" s="25"/>
      <c r="I96" s="40"/>
      <c r="J96" s="127"/>
      <c r="K96" s="40"/>
      <c r="L96" s="2"/>
    </row>
    <row r="97" spans="1:12" ht="56">
      <c r="A97" s="8">
        <v>14</v>
      </c>
      <c r="B97" s="3" t="s">
        <v>98</v>
      </c>
      <c r="C97" s="21" t="s">
        <v>41</v>
      </c>
      <c r="D97" s="21">
        <v>27.22</v>
      </c>
      <c r="E97" s="22"/>
      <c r="F97" s="22">
        <f>E97*D97</f>
        <v>0</v>
      </c>
      <c r="G97" s="106" t="s">
        <v>72</v>
      </c>
      <c r="H97" s="27" t="s">
        <v>41</v>
      </c>
      <c r="I97" s="40">
        <f>2.1*(D97)</f>
        <v>57.161999999999999</v>
      </c>
      <c r="J97" s="126"/>
      <c r="K97" s="40">
        <f t="shared" ref="K97:K104" si="13">J97*I97</f>
        <v>0</v>
      </c>
      <c r="L97" s="2"/>
    </row>
    <row r="98" spans="1:12" ht="42">
      <c r="A98" s="8"/>
      <c r="B98" s="3"/>
      <c r="C98" s="21"/>
      <c r="D98" s="21"/>
      <c r="E98" s="22"/>
      <c r="F98" s="22"/>
      <c r="G98" s="106" t="s">
        <v>83</v>
      </c>
      <c r="H98" s="70" t="s">
        <v>74</v>
      </c>
      <c r="I98" s="40">
        <f>0.83*D97*1.03</f>
        <v>23.270377999999997</v>
      </c>
      <c r="J98" s="126"/>
      <c r="K98" s="40">
        <f t="shared" si="13"/>
        <v>0</v>
      </c>
      <c r="L98" s="2"/>
    </row>
    <row r="99" spans="1:12" ht="42">
      <c r="A99" s="8"/>
      <c r="B99" s="3"/>
      <c r="C99" s="21"/>
      <c r="D99" s="21"/>
      <c r="E99" s="22"/>
      <c r="F99" s="22"/>
      <c r="G99" s="106" t="s">
        <v>84</v>
      </c>
      <c r="H99" s="70" t="s">
        <v>74</v>
      </c>
      <c r="I99" s="40">
        <f>2.55*D97*1.03</f>
        <v>71.493329999999986</v>
      </c>
      <c r="J99" s="126"/>
      <c r="K99" s="40">
        <f t="shared" si="13"/>
        <v>0</v>
      </c>
      <c r="L99" s="2"/>
    </row>
    <row r="100" spans="1:12" ht="42">
      <c r="A100" s="8"/>
      <c r="B100" s="3"/>
      <c r="C100" s="21"/>
      <c r="D100" s="21"/>
      <c r="E100" s="22"/>
      <c r="F100" s="22"/>
      <c r="G100" s="106" t="s">
        <v>76</v>
      </c>
      <c r="H100" s="70" t="s">
        <v>48</v>
      </c>
      <c r="I100" s="41">
        <f>2.5*D97</f>
        <v>68.05</v>
      </c>
      <c r="J100" s="126"/>
      <c r="K100" s="40">
        <f t="shared" si="13"/>
        <v>0</v>
      </c>
      <c r="L100" s="2"/>
    </row>
    <row r="101" spans="1:12" ht="56">
      <c r="A101" s="8"/>
      <c r="B101" s="3"/>
      <c r="C101" s="21"/>
      <c r="D101" s="21"/>
      <c r="E101" s="22"/>
      <c r="F101" s="22"/>
      <c r="G101" s="106" t="s">
        <v>77</v>
      </c>
      <c r="H101" s="70" t="s">
        <v>48</v>
      </c>
      <c r="I101" s="41">
        <f>6.07*D97</f>
        <v>165.22540000000001</v>
      </c>
      <c r="J101" s="126"/>
      <c r="K101" s="40">
        <f t="shared" si="13"/>
        <v>0</v>
      </c>
      <c r="L101" s="2"/>
    </row>
    <row r="102" spans="1:12" ht="56">
      <c r="A102" s="8"/>
      <c r="B102" s="3"/>
      <c r="C102" s="21"/>
      <c r="D102" s="21"/>
      <c r="E102" s="22"/>
      <c r="F102" s="22"/>
      <c r="G102" s="166" t="s">
        <v>96</v>
      </c>
      <c r="H102" s="70" t="s">
        <v>48</v>
      </c>
      <c r="I102" s="41">
        <f>37.3*D97</f>
        <v>1015.3059999999999</v>
      </c>
      <c r="J102" s="44"/>
      <c r="K102" s="40">
        <f t="shared" si="13"/>
        <v>0</v>
      </c>
      <c r="L102" s="2"/>
    </row>
    <row r="103" spans="1:12" ht="84">
      <c r="A103" s="8"/>
      <c r="B103" s="3"/>
      <c r="C103" s="21"/>
      <c r="D103" s="21"/>
      <c r="E103" s="22"/>
      <c r="F103" s="22"/>
      <c r="G103" s="106" t="s">
        <v>85</v>
      </c>
      <c r="H103" s="70" t="s">
        <v>74</v>
      </c>
      <c r="I103" s="40">
        <f>0.88*D97</f>
        <v>23.953599999999998</v>
      </c>
      <c r="J103" s="38"/>
      <c r="K103" s="40">
        <f t="shared" si="13"/>
        <v>0</v>
      </c>
      <c r="L103" s="2"/>
    </row>
    <row r="104" spans="1:12">
      <c r="A104" s="8"/>
      <c r="B104" s="3"/>
      <c r="C104" s="21"/>
      <c r="D104" s="21"/>
      <c r="E104" s="22"/>
      <c r="F104" s="22"/>
      <c r="G104" s="161" t="s">
        <v>97</v>
      </c>
      <c r="H104" s="25" t="s">
        <v>41</v>
      </c>
      <c r="I104" s="40">
        <f>1.03*D97</f>
        <v>28.0366</v>
      </c>
      <c r="J104" s="127"/>
      <c r="K104" s="40">
        <f t="shared" si="13"/>
        <v>0</v>
      </c>
      <c r="L104" s="2"/>
    </row>
    <row r="105" spans="1:12">
      <c r="A105" s="8"/>
      <c r="B105" s="3"/>
      <c r="C105" s="21"/>
      <c r="D105" s="21"/>
      <c r="E105" s="22"/>
      <c r="F105" s="22"/>
      <c r="G105" s="161"/>
      <c r="H105" s="25"/>
      <c r="I105" s="40"/>
      <c r="J105" s="127"/>
      <c r="K105" s="40"/>
      <c r="L105" s="2"/>
    </row>
    <row r="106" spans="1:12" ht="56">
      <c r="A106" s="8">
        <v>15</v>
      </c>
      <c r="B106" s="3" t="s">
        <v>99</v>
      </c>
      <c r="C106" s="21" t="s">
        <v>100</v>
      </c>
      <c r="D106" s="21">
        <v>12</v>
      </c>
      <c r="E106" s="22"/>
      <c r="F106" s="22">
        <f>E106*D106</f>
        <v>0</v>
      </c>
      <c r="G106" s="106" t="s">
        <v>101</v>
      </c>
      <c r="H106" s="70" t="s">
        <v>74</v>
      </c>
      <c r="I106" s="40">
        <v>213</v>
      </c>
      <c r="J106" s="126"/>
      <c r="K106" s="40">
        <f t="shared" ref="K106:K108" si="14">J106*I106</f>
        <v>0</v>
      </c>
      <c r="L106" s="2"/>
    </row>
    <row r="107" spans="1:12" ht="126">
      <c r="A107" s="8"/>
      <c r="B107" s="3"/>
      <c r="C107" s="21"/>
      <c r="D107" s="21"/>
      <c r="E107" s="22"/>
      <c r="F107" s="22"/>
      <c r="G107" s="162" t="s">
        <v>102</v>
      </c>
      <c r="H107" s="70" t="s">
        <v>103</v>
      </c>
      <c r="I107" s="40">
        <v>46</v>
      </c>
      <c r="J107" s="126"/>
      <c r="K107" s="40">
        <f t="shared" si="14"/>
        <v>0</v>
      </c>
      <c r="L107" s="2"/>
    </row>
    <row r="108" spans="1:12" ht="56">
      <c r="A108" s="8"/>
      <c r="B108" s="3"/>
      <c r="C108" s="21"/>
      <c r="D108" s="21"/>
      <c r="E108" s="22"/>
      <c r="F108" s="22"/>
      <c r="G108" s="106" t="s">
        <v>77</v>
      </c>
      <c r="H108" s="70" t="s">
        <v>48</v>
      </c>
      <c r="I108" s="41">
        <v>100</v>
      </c>
      <c r="J108" s="126"/>
      <c r="K108" s="40">
        <f t="shared" si="14"/>
        <v>0</v>
      </c>
      <c r="L108" s="2"/>
    </row>
    <row r="109" spans="1:12">
      <c r="A109" s="8"/>
      <c r="B109" s="3"/>
      <c r="C109" s="21"/>
      <c r="D109" s="21"/>
      <c r="E109" s="22"/>
      <c r="F109" s="22"/>
      <c r="G109" s="161"/>
      <c r="H109" s="25"/>
      <c r="I109" s="40"/>
      <c r="J109" s="127"/>
      <c r="K109" s="40"/>
      <c r="L109" s="2"/>
    </row>
    <row r="110" spans="1:12" ht="84">
      <c r="A110" s="8">
        <v>16</v>
      </c>
      <c r="B110" s="3" t="s">
        <v>104</v>
      </c>
      <c r="C110" s="21" t="s">
        <v>41</v>
      </c>
      <c r="D110" s="21">
        <v>11</v>
      </c>
      <c r="E110" s="22"/>
      <c r="F110" s="22">
        <f>E110*D110</f>
        <v>0</v>
      </c>
      <c r="G110" s="106" t="s">
        <v>82</v>
      </c>
      <c r="H110" s="27" t="s">
        <v>41</v>
      </c>
      <c r="I110" s="40">
        <f>2.1*(D110)</f>
        <v>23.1</v>
      </c>
      <c r="J110" s="126"/>
      <c r="K110" s="40">
        <f t="shared" ref="K110:K111" si="15">J110*I110</f>
        <v>0</v>
      </c>
      <c r="L110" s="2"/>
    </row>
    <row r="111" spans="1:12" ht="56">
      <c r="A111" s="8"/>
      <c r="B111" s="3"/>
      <c r="C111" s="21"/>
      <c r="D111" s="21"/>
      <c r="E111" s="22"/>
      <c r="F111" s="22"/>
      <c r="G111" s="166" t="s">
        <v>78</v>
      </c>
      <c r="H111" s="70" t="s">
        <v>48</v>
      </c>
      <c r="I111" s="41">
        <f>37.3*D110</f>
        <v>410.29999999999995</v>
      </c>
      <c r="J111" s="44"/>
      <c r="K111" s="40">
        <f t="shared" si="15"/>
        <v>0</v>
      </c>
      <c r="L111" s="2"/>
    </row>
    <row r="112" spans="1:12">
      <c r="A112" s="8"/>
      <c r="B112" s="3"/>
      <c r="C112" s="21"/>
      <c r="D112" s="21"/>
      <c r="E112" s="22"/>
      <c r="F112" s="22"/>
      <c r="G112" s="161" t="s">
        <v>105</v>
      </c>
      <c r="H112" s="25" t="s">
        <v>41</v>
      </c>
      <c r="I112" s="40">
        <v>12</v>
      </c>
      <c r="J112" s="127"/>
      <c r="K112" s="40">
        <f>J112*I112</f>
        <v>0</v>
      </c>
      <c r="L112" s="2"/>
    </row>
    <row r="113" spans="1:12">
      <c r="A113" s="8"/>
      <c r="B113" s="3"/>
      <c r="C113" s="21"/>
      <c r="D113" s="21"/>
      <c r="E113" s="22"/>
      <c r="F113" s="22"/>
      <c r="G113" s="161"/>
      <c r="H113" s="25"/>
      <c r="I113" s="40"/>
      <c r="J113" s="127"/>
      <c r="K113" s="40"/>
      <c r="L113" s="2"/>
    </row>
    <row r="114" spans="1:12" ht="84">
      <c r="A114" s="8">
        <v>17</v>
      </c>
      <c r="B114" s="3" t="s">
        <v>106</v>
      </c>
      <c r="C114" s="21" t="s">
        <v>41</v>
      </c>
      <c r="D114" s="21">
        <v>62.26</v>
      </c>
      <c r="E114" s="22"/>
      <c r="F114" s="22">
        <f>E114*D114</f>
        <v>0</v>
      </c>
      <c r="G114" s="106" t="s">
        <v>82</v>
      </c>
      <c r="H114" s="27" t="s">
        <v>41</v>
      </c>
      <c r="I114" s="40">
        <f>2.1*D114</f>
        <v>130.74600000000001</v>
      </c>
      <c r="J114" s="126"/>
      <c r="K114" s="40">
        <f t="shared" ref="K114:K120" si="16">J114*I114</f>
        <v>0</v>
      </c>
      <c r="L114" s="5"/>
    </row>
    <row r="115" spans="1:12" ht="42">
      <c r="A115" s="8"/>
      <c r="B115" s="3"/>
      <c r="C115" s="21"/>
      <c r="D115" s="21"/>
      <c r="E115" s="22"/>
      <c r="F115" s="22"/>
      <c r="G115" s="106" t="s">
        <v>107</v>
      </c>
      <c r="H115" s="70" t="s">
        <v>74</v>
      </c>
      <c r="I115" s="40">
        <f>0.87*D114*1.03</f>
        <v>55.791185999999996</v>
      </c>
      <c r="J115" s="126"/>
      <c r="K115" s="40">
        <f t="shared" si="16"/>
        <v>0</v>
      </c>
      <c r="L115" s="5"/>
    </row>
    <row r="116" spans="1:12" ht="42">
      <c r="A116" s="8"/>
      <c r="B116" s="3"/>
      <c r="C116" s="21"/>
      <c r="D116" s="21"/>
      <c r="E116" s="22"/>
      <c r="F116" s="22"/>
      <c r="G116" s="106" t="s">
        <v>108</v>
      </c>
      <c r="H116" s="70" t="s">
        <v>74</v>
      </c>
      <c r="I116" s="40">
        <f>2.41*D114*1.03</f>
        <v>154.54799800000001</v>
      </c>
      <c r="J116" s="126"/>
      <c r="K116" s="40">
        <f t="shared" si="16"/>
        <v>0</v>
      </c>
      <c r="L116" s="5"/>
    </row>
    <row r="117" spans="1:12" ht="42">
      <c r="A117" s="8"/>
      <c r="B117" s="3"/>
      <c r="C117" s="21"/>
      <c r="D117" s="21"/>
      <c r="E117" s="22"/>
      <c r="F117" s="22"/>
      <c r="G117" s="106" t="s">
        <v>76</v>
      </c>
      <c r="H117" s="70" t="s">
        <v>48</v>
      </c>
      <c r="I117" s="41">
        <f>149.75+160</f>
        <v>309.75</v>
      </c>
      <c r="J117" s="126"/>
      <c r="K117" s="40">
        <f t="shared" si="16"/>
        <v>0</v>
      </c>
      <c r="L117" s="5"/>
    </row>
    <row r="118" spans="1:12" ht="56">
      <c r="A118" s="8"/>
      <c r="B118" s="3"/>
      <c r="C118" s="21"/>
      <c r="D118" s="21"/>
      <c r="E118" s="22"/>
      <c r="F118" s="22"/>
      <c r="G118" s="106" t="s">
        <v>77</v>
      </c>
      <c r="H118" s="70" t="s">
        <v>48</v>
      </c>
      <c r="I118" s="41">
        <f>6.07*D114+160</f>
        <v>537.91820000000007</v>
      </c>
      <c r="J118" s="126"/>
      <c r="K118" s="40">
        <f t="shared" si="16"/>
        <v>0</v>
      </c>
      <c r="L118" s="5"/>
    </row>
    <row r="119" spans="1:12" ht="56">
      <c r="A119" s="8"/>
      <c r="B119" s="3"/>
      <c r="C119" s="21"/>
      <c r="D119" s="21"/>
      <c r="E119" s="22"/>
      <c r="F119" s="22"/>
      <c r="G119" s="166" t="s">
        <v>78</v>
      </c>
      <c r="H119" s="70" t="s">
        <v>48</v>
      </c>
      <c r="I119" s="41">
        <f>18*D114</f>
        <v>1120.68</v>
      </c>
      <c r="J119" s="44"/>
      <c r="K119" s="40">
        <f t="shared" si="16"/>
        <v>0</v>
      </c>
      <c r="L119" s="5"/>
    </row>
    <row r="120" spans="1:12" ht="84">
      <c r="A120" s="8"/>
      <c r="B120" s="3"/>
      <c r="C120" s="21"/>
      <c r="D120" s="21"/>
      <c r="E120" s="22"/>
      <c r="F120" s="22"/>
      <c r="G120" s="106" t="s">
        <v>109</v>
      </c>
      <c r="H120" s="70" t="s">
        <v>74</v>
      </c>
      <c r="I120" s="40">
        <f>0.9*D114</f>
        <v>56.033999999999999</v>
      </c>
      <c r="J120" s="38"/>
      <c r="K120" s="40">
        <f t="shared" si="16"/>
        <v>0</v>
      </c>
      <c r="L120" s="5"/>
    </row>
    <row r="121" spans="1:12" ht="56">
      <c r="A121" s="8"/>
      <c r="B121" s="3"/>
      <c r="C121" s="21"/>
      <c r="D121" s="21"/>
      <c r="E121" s="22"/>
      <c r="F121" s="22"/>
      <c r="G121" s="106" t="s">
        <v>110</v>
      </c>
      <c r="H121" s="70" t="s">
        <v>48</v>
      </c>
      <c r="I121" s="40">
        <v>80</v>
      </c>
      <c r="J121" s="38"/>
      <c r="K121" s="40">
        <f>J121*I121</f>
        <v>0</v>
      </c>
      <c r="L121" s="5"/>
    </row>
    <row r="122" spans="1:12">
      <c r="A122" s="8"/>
      <c r="B122" s="3"/>
      <c r="C122" s="21"/>
      <c r="D122" s="21"/>
      <c r="E122" s="22"/>
      <c r="F122" s="22"/>
      <c r="G122" s="106"/>
      <c r="H122" s="70"/>
      <c r="I122" s="40"/>
      <c r="J122" s="38"/>
      <c r="K122" s="40"/>
      <c r="L122" s="5"/>
    </row>
    <row r="123" spans="1:12" ht="56">
      <c r="A123" s="8">
        <v>18</v>
      </c>
      <c r="B123" s="3" t="s">
        <v>111</v>
      </c>
      <c r="C123" s="21" t="s">
        <v>41</v>
      </c>
      <c r="D123" s="21">
        <v>152.63999999999999</v>
      </c>
      <c r="E123" s="22"/>
      <c r="F123" s="22">
        <f>E123*D123</f>
        <v>0</v>
      </c>
      <c r="G123" s="106" t="s">
        <v>72</v>
      </c>
      <c r="H123" s="27" t="s">
        <v>41</v>
      </c>
      <c r="I123" s="40">
        <f>1.1*(D123)</f>
        <v>167.904</v>
      </c>
      <c r="J123" s="126"/>
      <c r="K123" s="40">
        <f t="shared" ref="K123:K129" si="17">J123*I123</f>
        <v>0</v>
      </c>
      <c r="L123" s="2"/>
    </row>
    <row r="124" spans="1:12" ht="42">
      <c r="A124" s="8"/>
      <c r="B124" s="3"/>
      <c r="C124" s="21"/>
      <c r="D124" s="21"/>
      <c r="E124" s="22"/>
      <c r="F124" s="22"/>
      <c r="G124" s="106" t="s">
        <v>112</v>
      </c>
      <c r="H124" s="70" t="s">
        <v>74</v>
      </c>
      <c r="I124" s="40">
        <f>0.87*D123*1.1</f>
        <v>146.07648</v>
      </c>
      <c r="J124" s="126"/>
      <c r="K124" s="40">
        <f t="shared" si="17"/>
        <v>0</v>
      </c>
      <c r="L124" s="2"/>
    </row>
    <row r="125" spans="1:12" ht="42">
      <c r="A125" s="8"/>
      <c r="B125" s="3"/>
      <c r="C125" s="21"/>
      <c r="D125" s="21"/>
      <c r="E125" s="22"/>
      <c r="F125" s="22"/>
      <c r="G125" s="106" t="s">
        <v>113</v>
      </c>
      <c r="H125" s="70" t="s">
        <v>74</v>
      </c>
      <c r="I125" s="40">
        <f>2.41*D123*1.3</f>
        <v>478.22111999999998</v>
      </c>
      <c r="J125" s="126"/>
      <c r="K125" s="40">
        <f t="shared" si="17"/>
        <v>0</v>
      </c>
      <c r="L125" s="2"/>
    </row>
    <row r="126" spans="1:12" ht="42">
      <c r="A126" s="8"/>
      <c r="B126" s="3"/>
      <c r="C126" s="21"/>
      <c r="D126" s="21"/>
      <c r="E126" s="22"/>
      <c r="F126" s="22"/>
      <c r="G126" s="106" t="s">
        <v>76</v>
      </c>
      <c r="H126" s="70" t="s">
        <v>48</v>
      </c>
      <c r="I126" s="41">
        <f>2.5*D123*1.1</f>
        <v>419.76</v>
      </c>
      <c r="J126" s="126"/>
      <c r="K126" s="40">
        <f t="shared" si="17"/>
        <v>0</v>
      </c>
      <c r="L126" s="2"/>
    </row>
    <row r="127" spans="1:12" ht="56">
      <c r="A127" s="8"/>
      <c r="B127" s="3"/>
      <c r="C127" s="21"/>
      <c r="D127" s="21"/>
      <c r="E127" s="22"/>
      <c r="F127" s="22"/>
      <c r="G127" s="106" t="s">
        <v>77</v>
      </c>
      <c r="H127" s="70" t="s">
        <v>48</v>
      </c>
      <c r="I127" s="41">
        <f>6.07*D123</f>
        <v>926.52479999999991</v>
      </c>
      <c r="J127" s="126"/>
      <c r="K127" s="40">
        <f t="shared" si="17"/>
        <v>0</v>
      </c>
      <c r="L127" s="2"/>
    </row>
    <row r="128" spans="1:12" ht="56">
      <c r="A128" s="8"/>
      <c r="B128" s="3"/>
      <c r="C128" s="21"/>
      <c r="D128" s="21"/>
      <c r="E128" s="22"/>
      <c r="F128" s="22"/>
      <c r="G128" s="166" t="s">
        <v>96</v>
      </c>
      <c r="H128" s="70" t="s">
        <v>48</v>
      </c>
      <c r="I128" s="41">
        <f>18*D123*1.1</f>
        <v>3022.2719999999999</v>
      </c>
      <c r="J128" s="44"/>
      <c r="K128" s="40">
        <f t="shared" si="17"/>
        <v>0</v>
      </c>
      <c r="L128" s="2"/>
    </row>
    <row r="129" spans="1:12" ht="84">
      <c r="A129" s="8"/>
      <c r="B129" s="3"/>
      <c r="C129" s="21"/>
      <c r="D129" s="21"/>
      <c r="E129" s="22"/>
      <c r="F129" s="22"/>
      <c r="G129" s="106" t="s">
        <v>85</v>
      </c>
      <c r="H129" s="70" t="s">
        <v>74</v>
      </c>
      <c r="I129" s="40">
        <f>0.9*D123</f>
        <v>137.376</v>
      </c>
      <c r="J129" s="38"/>
      <c r="K129" s="40">
        <f t="shared" si="17"/>
        <v>0</v>
      </c>
      <c r="L129" s="2"/>
    </row>
    <row r="130" spans="1:12">
      <c r="A130" s="8"/>
      <c r="B130" s="3"/>
      <c r="C130" s="21"/>
      <c r="D130" s="21"/>
      <c r="E130" s="22"/>
      <c r="F130" s="22"/>
      <c r="G130" s="106"/>
      <c r="H130" s="70"/>
      <c r="I130" s="40"/>
      <c r="J130" s="38"/>
      <c r="K130" s="40"/>
      <c r="L130" s="2"/>
    </row>
    <row r="131" spans="1:12">
      <c r="A131" s="8"/>
      <c r="B131" s="3"/>
      <c r="C131" s="21"/>
      <c r="D131" s="21"/>
      <c r="E131" s="22"/>
      <c r="F131" s="22"/>
      <c r="G131" s="161"/>
      <c r="H131" s="25"/>
      <c r="I131" s="40"/>
      <c r="J131" s="127"/>
      <c r="K131" s="40"/>
      <c r="L131" s="2"/>
    </row>
    <row r="132" spans="1:12" ht="56">
      <c r="A132" s="8">
        <v>19</v>
      </c>
      <c r="B132" s="3" t="s">
        <v>114</v>
      </c>
      <c r="C132" s="21" t="s">
        <v>41</v>
      </c>
      <c r="D132" s="21">
        <v>26.46</v>
      </c>
      <c r="E132" s="22"/>
      <c r="F132" s="22">
        <f>E132*D132</f>
        <v>0</v>
      </c>
      <c r="G132" s="106" t="s">
        <v>72</v>
      </c>
      <c r="H132" s="27" t="s">
        <v>41</v>
      </c>
      <c r="I132" s="40">
        <f>2.1*(D132)</f>
        <v>55.566000000000003</v>
      </c>
      <c r="J132" s="126"/>
      <c r="K132" s="40">
        <f t="shared" ref="K132" si="18">J132*I132</f>
        <v>0</v>
      </c>
      <c r="L132" s="2"/>
    </row>
    <row r="133" spans="1:12" ht="28">
      <c r="A133" s="8"/>
      <c r="B133" s="3"/>
      <c r="C133" s="21"/>
      <c r="D133" s="21"/>
      <c r="E133" s="22"/>
      <c r="F133" s="22"/>
      <c r="G133" s="106" t="s">
        <v>115</v>
      </c>
      <c r="H133" s="70" t="s">
        <v>51</v>
      </c>
      <c r="I133" s="40">
        <f>11*D132</f>
        <v>291.06</v>
      </c>
      <c r="J133" s="126"/>
      <c r="K133" s="40">
        <f>J133*I133</f>
        <v>0</v>
      </c>
      <c r="L133" s="2"/>
    </row>
    <row r="134" spans="1:12" ht="84">
      <c r="A134" s="8"/>
      <c r="B134" s="3"/>
      <c r="C134" s="21"/>
      <c r="D134" s="21"/>
      <c r="E134" s="22"/>
      <c r="F134" s="22"/>
      <c r="G134" s="258" t="s">
        <v>116</v>
      </c>
      <c r="H134" s="70" t="s">
        <v>117</v>
      </c>
      <c r="I134" s="40">
        <f>0.2*D132</f>
        <v>5.2920000000000007</v>
      </c>
      <c r="J134" s="126"/>
      <c r="K134" s="40">
        <f>J134*I134</f>
        <v>0</v>
      </c>
      <c r="L134" s="2"/>
    </row>
    <row r="135" spans="1:12">
      <c r="A135" s="8"/>
      <c r="B135" s="3"/>
      <c r="C135" s="21"/>
      <c r="D135" s="21"/>
      <c r="E135" s="22"/>
      <c r="F135" s="22"/>
      <c r="G135" s="106"/>
      <c r="H135" s="70"/>
      <c r="I135" s="41"/>
      <c r="J135" s="126"/>
      <c r="K135" s="40"/>
      <c r="L135" s="2"/>
    </row>
    <row r="136" spans="1:12" ht="56">
      <c r="A136" s="8">
        <v>20</v>
      </c>
      <c r="B136" s="3" t="s">
        <v>118</v>
      </c>
      <c r="C136" s="21" t="s">
        <v>41</v>
      </c>
      <c r="D136" s="21">
        <v>240.56</v>
      </c>
      <c r="E136" s="22"/>
      <c r="F136" s="22">
        <f>E136*D136</f>
        <v>0</v>
      </c>
      <c r="G136" s="106" t="s">
        <v>72</v>
      </c>
      <c r="H136" s="27" t="s">
        <v>41</v>
      </c>
      <c r="I136" s="40">
        <f>2.1*(D136)</f>
        <v>505.17600000000004</v>
      </c>
      <c r="J136" s="126"/>
      <c r="K136" s="40">
        <f t="shared" ref="K136" si="19">J136*I136</f>
        <v>0</v>
      </c>
      <c r="L136" s="2"/>
    </row>
    <row r="137" spans="1:12" ht="28">
      <c r="A137" s="8"/>
      <c r="B137" s="3"/>
      <c r="C137" s="21"/>
      <c r="D137" s="21"/>
      <c r="E137" s="22"/>
      <c r="F137" s="22"/>
      <c r="G137" s="106" t="s">
        <v>115</v>
      </c>
      <c r="H137" s="70" t="s">
        <v>51</v>
      </c>
      <c r="I137" s="40">
        <f>11*D136</f>
        <v>2646.16</v>
      </c>
      <c r="J137" s="126"/>
      <c r="K137" s="40">
        <f>J137*I137</f>
        <v>0</v>
      </c>
      <c r="L137" s="2"/>
    </row>
    <row r="138" spans="1:12" ht="84">
      <c r="A138" s="8"/>
      <c r="B138" s="3"/>
      <c r="C138" s="21"/>
      <c r="D138" s="21"/>
      <c r="E138" s="22"/>
      <c r="F138" s="22"/>
      <c r="G138" s="258" t="s">
        <v>116</v>
      </c>
      <c r="H138" s="70" t="s">
        <v>117</v>
      </c>
      <c r="I138" s="40">
        <f>0.2*D136</f>
        <v>48.112000000000002</v>
      </c>
      <c r="J138" s="126"/>
      <c r="K138" s="40">
        <f>J138*I138</f>
        <v>0</v>
      </c>
      <c r="L138" s="2"/>
    </row>
    <row r="139" spans="1:12">
      <c r="A139" s="8"/>
      <c r="B139" s="3"/>
      <c r="C139" s="21"/>
      <c r="D139" s="21"/>
      <c r="E139" s="22"/>
      <c r="F139" s="22"/>
      <c r="G139" s="258"/>
      <c r="H139" s="70"/>
      <c r="I139" s="40"/>
      <c r="J139" s="126"/>
      <c r="K139" s="40"/>
      <c r="L139" s="2"/>
    </row>
    <row r="140" spans="1:12" ht="112">
      <c r="A140" s="8">
        <v>21</v>
      </c>
      <c r="B140" s="3" t="s">
        <v>119</v>
      </c>
      <c r="C140" s="21" t="s">
        <v>48</v>
      </c>
      <c r="D140" s="21">
        <v>1</v>
      </c>
      <c r="E140" s="22"/>
      <c r="F140" s="22">
        <f>E140*D140</f>
        <v>0</v>
      </c>
      <c r="G140" s="162" t="s">
        <v>120</v>
      </c>
      <c r="H140" s="27" t="s">
        <v>41</v>
      </c>
      <c r="I140" s="40">
        <v>1.2</v>
      </c>
      <c r="J140" s="126"/>
      <c r="K140" s="40">
        <f t="shared" ref="K140:K145" si="20">J140*I140</f>
        <v>0</v>
      </c>
      <c r="L140" s="2"/>
    </row>
    <row r="141" spans="1:12" ht="42">
      <c r="A141" s="8"/>
      <c r="B141" s="3"/>
      <c r="C141" s="21"/>
      <c r="D141" s="21"/>
      <c r="E141" s="22"/>
      <c r="F141" s="22"/>
      <c r="G141" s="106" t="s">
        <v>112</v>
      </c>
      <c r="H141" s="70" t="s">
        <v>74</v>
      </c>
      <c r="I141" s="40">
        <v>9</v>
      </c>
      <c r="J141" s="126"/>
      <c r="K141" s="40">
        <f t="shared" si="20"/>
        <v>0</v>
      </c>
      <c r="L141" s="2"/>
    </row>
    <row r="142" spans="1:12" ht="42">
      <c r="A142" s="8"/>
      <c r="B142" s="3"/>
      <c r="C142" s="21"/>
      <c r="D142" s="21"/>
      <c r="E142" s="22"/>
      <c r="F142" s="22"/>
      <c r="G142" s="106" t="s">
        <v>113</v>
      </c>
      <c r="H142" s="70" t="s">
        <v>74</v>
      </c>
      <c r="I142" s="40">
        <v>2</v>
      </c>
      <c r="J142" s="126"/>
      <c r="K142" s="40">
        <f t="shared" si="20"/>
        <v>0</v>
      </c>
      <c r="L142" s="2"/>
    </row>
    <row r="143" spans="1:12" ht="42">
      <c r="A143" s="8"/>
      <c r="B143" s="3"/>
      <c r="C143" s="21"/>
      <c r="D143" s="21"/>
      <c r="E143" s="22"/>
      <c r="F143" s="22"/>
      <c r="G143" s="106" t="s">
        <v>76</v>
      </c>
      <c r="H143" s="70" t="s">
        <v>48</v>
      </c>
      <c r="I143" s="41">
        <f>149.75+240</f>
        <v>389.75</v>
      </c>
      <c r="J143" s="126"/>
      <c r="K143" s="40">
        <f t="shared" si="20"/>
        <v>0</v>
      </c>
      <c r="L143" s="2"/>
    </row>
    <row r="144" spans="1:12" ht="56">
      <c r="A144" s="8"/>
      <c r="B144" s="3"/>
      <c r="C144" s="21"/>
      <c r="D144" s="21"/>
      <c r="E144" s="22"/>
      <c r="F144" s="22"/>
      <c r="G144" s="106" t="s">
        <v>77</v>
      </c>
      <c r="H144" s="70" t="s">
        <v>48</v>
      </c>
      <c r="I144" s="41">
        <v>50</v>
      </c>
      <c r="J144" s="126"/>
      <c r="K144" s="40">
        <f t="shared" si="20"/>
        <v>0</v>
      </c>
      <c r="L144" s="2"/>
    </row>
    <row r="145" spans="1:12" ht="56">
      <c r="A145" s="8"/>
      <c r="B145" s="3"/>
      <c r="C145" s="21"/>
      <c r="D145" s="21"/>
      <c r="E145" s="22"/>
      <c r="F145" s="22"/>
      <c r="G145" s="166" t="s">
        <v>96</v>
      </c>
      <c r="H145" s="70" t="s">
        <v>48</v>
      </c>
      <c r="I145" s="41">
        <v>50</v>
      </c>
      <c r="J145" s="44"/>
      <c r="K145" s="40">
        <f t="shared" si="20"/>
        <v>0</v>
      </c>
      <c r="L145" s="2"/>
    </row>
    <row r="146" spans="1:12">
      <c r="A146" s="8"/>
      <c r="B146" s="3"/>
      <c r="C146" s="21"/>
      <c r="D146" s="21"/>
      <c r="E146" s="22"/>
      <c r="F146" s="22"/>
      <c r="G146" s="166"/>
      <c r="H146" s="70"/>
      <c r="I146" s="41"/>
      <c r="J146" s="44"/>
      <c r="K146" s="40"/>
      <c r="L146" s="2"/>
    </row>
    <row r="147" spans="1:12" ht="56">
      <c r="A147" s="8">
        <v>22</v>
      </c>
      <c r="B147" s="106" t="s">
        <v>121</v>
      </c>
      <c r="C147" s="27" t="s">
        <v>41</v>
      </c>
      <c r="D147" s="70">
        <v>17.36</v>
      </c>
      <c r="E147" s="22"/>
      <c r="F147" s="22">
        <f>E147*D147</f>
        <v>0</v>
      </c>
      <c r="G147" s="106" t="s">
        <v>72</v>
      </c>
      <c r="H147" s="27" t="s">
        <v>41</v>
      </c>
      <c r="I147" s="40">
        <f>1.1*(D147)</f>
        <v>19.096</v>
      </c>
      <c r="J147" s="126"/>
      <c r="K147" s="40">
        <f t="shared" ref="K147:K152" si="21">J147*I147</f>
        <v>0</v>
      </c>
      <c r="L147" s="2"/>
    </row>
    <row r="148" spans="1:12" ht="42">
      <c r="A148" s="8"/>
      <c r="B148" s="3"/>
      <c r="C148" s="62"/>
      <c r="D148" s="22"/>
      <c r="E148" s="22"/>
      <c r="F148" s="22"/>
      <c r="G148" s="106" t="s">
        <v>107</v>
      </c>
      <c r="H148" s="70" t="s">
        <v>74</v>
      </c>
      <c r="I148" s="40">
        <v>44</v>
      </c>
      <c r="J148" s="126"/>
      <c r="K148" s="40">
        <f t="shared" si="21"/>
        <v>0</v>
      </c>
      <c r="L148" s="2"/>
    </row>
    <row r="149" spans="1:12" ht="42">
      <c r="A149" s="8"/>
      <c r="B149" s="3"/>
      <c r="C149" s="62"/>
      <c r="D149" s="22"/>
      <c r="E149" s="22"/>
      <c r="F149" s="22"/>
      <c r="G149" s="106" t="s">
        <v>108</v>
      </c>
      <c r="H149" s="70" t="s">
        <v>74</v>
      </c>
      <c r="I149" s="40">
        <f>2.55*D147</f>
        <v>44.267999999999994</v>
      </c>
      <c r="J149" s="126"/>
      <c r="K149" s="40">
        <f t="shared" si="21"/>
        <v>0</v>
      </c>
      <c r="L149" s="2"/>
    </row>
    <row r="150" spans="1:12" ht="42">
      <c r="A150" s="8"/>
      <c r="B150" s="3"/>
      <c r="C150" s="62"/>
      <c r="D150" s="22"/>
      <c r="E150" s="22"/>
      <c r="F150" s="22"/>
      <c r="G150" s="106" t="s">
        <v>76</v>
      </c>
      <c r="H150" s="77" t="s">
        <v>122</v>
      </c>
      <c r="I150" s="42">
        <v>76</v>
      </c>
      <c r="J150" s="127"/>
      <c r="K150" s="40">
        <f t="shared" si="21"/>
        <v>0</v>
      </c>
      <c r="L150" s="2"/>
    </row>
    <row r="151" spans="1:12" ht="56">
      <c r="A151" s="8"/>
      <c r="B151" s="3"/>
      <c r="C151" s="62"/>
      <c r="D151" s="22"/>
      <c r="E151" s="22"/>
      <c r="F151" s="22"/>
      <c r="G151" s="166" t="s">
        <v>96</v>
      </c>
      <c r="H151" s="77" t="s">
        <v>122</v>
      </c>
      <c r="I151" s="42">
        <f>22*D147</f>
        <v>381.91999999999996</v>
      </c>
      <c r="J151" s="44"/>
      <c r="K151" s="40">
        <f t="shared" si="21"/>
        <v>0</v>
      </c>
      <c r="L151" s="2"/>
    </row>
    <row r="152" spans="1:12" ht="56">
      <c r="A152" s="8"/>
      <c r="B152" s="3"/>
      <c r="C152" s="62"/>
      <c r="D152" s="22"/>
      <c r="E152" s="22"/>
      <c r="F152" s="22"/>
      <c r="G152" s="106" t="s">
        <v>77</v>
      </c>
      <c r="H152" s="77" t="s">
        <v>122</v>
      </c>
      <c r="I152" s="42">
        <f>16*D147</f>
        <v>277.76</v>
      </c>
      <c r="J152" s="126"/>
      <c r="K152" s="40">
        <f t="shared" si="21"/>
        <v>0</v>
      </c>
      <c r="L152" s="2"/>
    </row>
    <row r="153" spans="1:12" ht="56">
      <c r="A153" s="8"/>
      <c r="B153" s="3"/>
      <c r="C153" s="62"/>
      <c r="D153" s="22"/>
      <c r="E153" s="22"/>
      <c r="F153" s="22"/>
      <c r="G153" s="106" t="s">
        <v>110</v>
      </c>
      <c r="H153" s="70" t="s">
        <v>48</v>
      </c>
      <c r="I153" s="40">
        <v>36</v>
      </c>
      <c r="J153" s="38"/>
      <c r="K153" s="40">
        <f>J153*I153</f>
        <v>0</v>
      </c>
      <c r="L153" s="2"/>
    </row>
    <row r="154" spans="1:12" ht="84">
      <c r="A154" s="8"/>
      <c r="B154" s="3"/>
      <c r="C154" s="21"/>
      <c r="D154" s="21"/>
      <c r="E154" s="22"/>
      <c r="F154" s="22"/>
      <c r="G154" s="106" t="s">
        <v>123</v>
      </c>
      <c r="H154" s="70" t="s">
        <v>74</v>
      </c>
      <c r="I154" s="40">
        <v>22</v>
      </c>
      <c r="J154" s="38"/>
      <c r="K154" s="40">
        <f t="shared" ref="K154" si="22">J154*I154</f>
        <v>0</v>
      </c>
      <c r="L154" s="2"/>
    </row>
    <row r="155" spans="1:12">
      <c r="A155" s="8"/>
      <c r="B155" s="3"/>
      <c r="C155" s="21"/>
      <c r="D155" s="21"/>
      <c r="E155" s="22"/>
      <c r="F155" s="22"/>
      <c r="G155" s="166"/>
      <c r="H155" s="70"/>
      <c r="I155" s="41"/>
      <c r="J155" s="44"/>
      <c r="K155" s="40"/>
      <c r="L155" s="2"/>
    </row>
    <row r="156" spans="1:12" ht="28">
      <c r="A156" s="8">
        <v>23</v>
      </c>
      <c r="B156" s="3" t="s">
        <v>124</v>
      </c>
      <c r="C156" s="21" t="s">
        <v>74</v>
      </c>
      <c r="D156" s="4">
        <f>(D30+D39+D48+D58+D68+D79+D88+D97)*2.7+(D132+D136)*1.9</f>
        <v>1518.866</v>
      </c>
      <c r="E156" s="22"/>
      <c r="F156" s="22">
        <f>E156*D156</f>
        <v>0</v>
      </c>
      <c r="G156" s="258" t="s">
        <v>125</v>
      </c>
      <c r="H156" s="259" t="s">
        <v>74</v>
      </c>
      <c r="I156" s="40">
        <f>D156*1.01</f>
        <v>1534.05466</v>
      </c>
      <c r="J156" s="127"/>
      <c r="K156" s="40">
        <f>J156*I156</f>
        <v>0</v>
      </c>
      <c r="L156" s="2"/>
    </row>
    <row r="157" spans="1:12" ht="56">
      <c r="A157" s="8"/>
      <c r="B157" s="3"/>
      <c r="C157" s="21"/>
      <c r="D157" s="4"/>
      <c r="E157" s="22"/>
      <c r="F157" s="22"/>
      <c r="G157" s="258" t="s">
        <v>126</v>
      </c>
      <c r="H157" s="259" t="s">
        <v>51</v>
      </c>
      <c r="I157" s="40">
        <f>0.61*(D30+D39+D48+D58+D68+D79+D88+D97+0)+0.32*(D123+D132)</f>
        <v>285.8424</v>
      </c>
      <c r="J157" s="127"/>
      <c r="K157" s="40">
        <f>J157*I157</f>
        <v>0</v>
      </c>
      <c r="L157" s="2"/>
    </row>
    <row r="158" spans="1:12" ht="56">
      <c r="A158" s="8">
        <v>24</v>
      </c>
      <c r="B158" s="3" t="s">
        <v>127</v>
      </c>
      <c r="C158" s="62" t="s">
        <v>41</v>
      </c>
      <c r="D158" s="22">
        <f>53.53+6.95+930+10.08</f>
        <v>1000.5600000000001</v>
      </c>
      <c r="E158" s="22"/>
      <c r="F158" s="22">
        <f>E158*D158</f>
        <v>0</v>
      </c>
      <c r="G158" s="258" t="s">
        <v>128</v>
      </c>
      <c r="H158" s="259" t="s">
        <v>51</v>
      </c>
      <c r="I158" s="40">
        <f>2.2*D158</f>
        <v>2201.2320000000004</v>
      </c>
      <c r="J158" s="127"/>
      <c r="K158" s="40">
        <f t="shared" ref="K158:K171" si="23">J158*I158</f>
        <v>0</v>
      </c>
      <c r="L158" s="2"/>
    </row>
    <row r="159" spans="1:12" ht="84">
      <c r="A159" s="8"/>
      <c r="B159" s="3"/>
      <c r="C159" s="62"/>
      <c r="D159" s="22"/>
      <c r="E159" s="22"/>
      <c r="F159" s="22"/>
      <c r="G159" s="258" t="s">
        <v>116</v>
      </c>
      <c r="H159" s="259" t="s">
        <v>117</v>
      </c>
      <c r="I159" s="40">
        <f>0.2*D158*2</f>
        <v>400.22400000000005</v>
      </c>
      <c r="J159" s="127"/>
      <c r="K159" s="40">
        <f t="shared" si="23"/>
        <v>0</v>
      </c>
      <c r="L159" s="2"/>
    </row>
    <row r="160" spans="1:12" ht="70">
      <c r="A160" s="8"/>
      <c r="B160" s="106"/>
      <c r="C160" s="70"/>
      <c r="D160" s="22"/>
      <c r="E160" s="22"/>
      <c r="F160" s="22"/>
      <c r="G160" s="12" t="s">
        <v>129</v>
      </c>
      <c r="H160" s="143" t="s">
        <v>51</v>
      </c>
      <c r="I160" s="4">
        <f>0.35*D158</f>
        <v>350.19600000000003</v>
      </c>
      <c r="J160" s="38"/>
      <c r="K160" s="40">
        <f t="shared" si="23"/>
        <v>0</v>
      </c>
      <c r="L160" s="2"/>
    </row>
    <row r="161" spans="1:12" ht="14">
      <c r="A161" s="8"/>
      <c r="B161" s="3"/>
      <c r="C161" s="62"/>
      <c r="D161" s="22"/>
      <c r="E161" s="22"/>
      <c r="F161" s="22"/>
      <c r="G161" s="111" t="s">
        <v>130</v>
      </c>
      <c r="H161" s="126" t="s">
        <v>41</v>
      </c>
      <c r="I161" s="4">
        <f>1.1*D158</f>
        <v>1100.6160000000002</v>
      </c>
      <c r="J161" s="38"/>
      <c r="K161" s="40">
        <f t="shared" si="23"/>
        <v>0</v>
      </c>
      <c r="L161" s="2"/>
    </row>
    <row r="162" spans="1:12" ht="14">
      <c r="A162" s="8"/>
      <c r="B162" s="3"/>
      <c r="C162" s="62"/>
      <c r="D162" s="22"/>
      <c r="E162" s="22"/>
      <c r="F162" s="22"/>
      <c r="G162" s="167" t="s">
        <v>131</v>
      </c>
      <c r="H162" s="259" t="s">
        <v>51</v>
      </c>
      <c r="I162" s="40">
        <f>0.9*D158</f>
        <v>900.50400000000002</v>
      </c>
      <c r="J162" s="4"/>
      <c r="K162" s="40">
        <f t="shared" si="23"/>
        <v>0</v>
      </c>
      <c r="L162" s="2"/>
    </row>
    <row r="163" spans="1:12" ht="42">
      <c r="A163" s="8"/>
      <c r="B163" s="3"/>
      <c r="C163" s="62"/>
      <c r="D163" s="22"/>
      <c r="E163" s="22"/>
      <c r="F163" s="22"/>
      <c r="G163" s="13" t="s">
        <v>132</v>
      </c>
      <c r="H163" s="21" t="s">
        <v>41</v>
      </c>
      <c r="I163" s="4">
        <v>15</v>
      </c>
      <c r="J163" s="127"/>
      <c r="K163" s="40">
        <f t="shared" si="23"/>
        <v>0</v>
      </c>
      <c r="L163" s="2"/>
    </row>
    <row r="164" spans="1:12">
      <c r="A164" s="8"/>
      <c r="B164" s="3"/>
      <c r="C164" s="62"/>
      <c r="D164" s="22"/>
      <c r="E164" s="22"/>
      <c r="F164" s="22"/>
      <c r="G164" s="13"/>
      <c r="H164" s="21"/>
      <c r="I164" s="4"/>
      <c r="J164" s="127"/>
      <c r="K164" s="40"/>
      <c r="L164" s="2"/>
    </row>
    <row r="165" spans="1:12" ht="56">
      <c r="A165" s="8">
        <v>25</v>
      </c>
      <c r="B165" s="3" t="s">
        <v>133</v>
      </c>
      <c r="C165" s="62" t="s">
        <v>74</v>
      </c>
      <c r="D165" s="22">
        <v>179.2</v>
      </c>
      <c r="E165" s="22"/>
      <c r="F165" s="22">
        <f>E165*D165</f>
        <v>0</v>
      </c>
      <c r="G165" s="13" t="s">
        <v>134</v>
      </c>
      <c r="H165" s="21" t="s">
        <v>74</v>
      </c>
      <c r="I165" s="4">
        <v>197</v>
      </c>
      <c r="J165" s="127"/>
      <c r="K165" s="40">
        <f t="shared" ref="K165" si="24">J165*I165</f>
        <v>0</v>
      </c>
      <c r="L165" s="2"/>
    </row>
    <row r="166" spans="1:12">
      <c r="A166" s="8"/>
      <c r="B166" s="3"/>
      <c r="C166" s="62"/>
      <c r="D166" s="22"/>
      <c r="E166" s="22"/>
      <c r="F166" s="22"/>
      <c r="G166" s="13"/>
      <c r="H166" s="21"/>
      <c r="I166" s="4"/>
      <c r="J166" s="127"/>
      <c r="K166" s="40"/>
      <c r="L166" s="2"/>
    </row>
    <row r="167" spans="1:12" ht="98">
      <c r="A167" s="8">
        <v>26</v>
      </c>
      <c r="B167" s="3" t="s">
        <v>135</v>
      </c>
      <c r="C167" s="62" t="s">
        <v>41</v>
      </c>
      <c r="D167" s="22">
        <v>930</v>
      </c>
      <c r="E167" s="22"/>
      <c r="F167" s="22">
        <f>E167*D167</f>
        <v>0</v>
      </c>
      <c r="G167" s="258" t="s">
        <v>136</v>
      </c>
      <c r="H167" s="259" t="s">
        <v>117</v>
      </c>
      <c r="I167" s="40">
        <f>0.2*D167</f>
        <v>186</v>
      </c>
      <c r="J167" s="127"/>
      <c r="K167" s="40">
        <f t="shared" si="23"/>
        <v>0</v>
      </c>
      <c r="L167" s="2"/>
    </row>
    <row r="168" spans="1:12">
      <c r="A168" s="8"/>
      <c r="B168" s="3"/>
      <c r="C168" s="62"/>
      <c r="D168" s="22"/>
      <c r="E168" s="22"/>
      <c r="F168" s="22"/>
      <c r="G168" s="258"/>
      <c r="H168" s="259"/>
      <c r="I168" s="40"/>
      <c r="J168" s="127"/>
      <c r="K168" s="40"/>
      <c r="L168" s="2"/>
    </row>
    <row r="169" spans="1:12" ht="84">
      <c r="A169" s="8">
        <v>27</v>
      </c>
      <c r="B169" s="3" t="s">
        <v>137</v>
      </c>
      <c r="C169" s="62" t="s">
        <v>41</v>
      </c>
      <c r="D169" s="22">
        <v>930</v>
      </c>
      <c r="E169" s="22"/>
      <c r="F169" s="22">
        <f>E169*D169</f>
        <v>0</v>
      </c>
      <c r="G169" s="106" t="s">
        <v>138</v>
      </c>
      <c r="H169" s="259" t="s">
        <v>117</v>
      </c>
      <c r="I169" s="40">
        <f>0.28*346</f>
        <v>96.88000000000001</v>
      </c>
      <c r="J169" s="127"/>
      <c r="K169" s="40">
        <f t="shared" ref="K169" si="25">J169*I169</f>
        <v>0</v>
      </c>
      <c r="L169" s="2"/>
    </row>
    <row r="170" spans="1:12" ht="56">
      <c r="A170" s="8"/>
      <c r="B170" s="3"/>
      <c r="C170" s="62"/>
      <c r="D170" s="22"/>
      <c r="E170" s="22"/>
      <c r="F170" s="22"/>
      <c r="G170" s="106" t="s">
        <v>139</v>
      </c>
      <c r="H170" s="259" t="s">
        <v>117</v>
      </c>
      <c r="I170" s="40">
        <f>0.28*D169-I169</f>
        <v>163.52000000000004</v>
      </c>
      <c r="J170" s="127"/>
      <c r="K170" s="40">
        <f t="shared" si="23"/>
        <v>0</v>
      </c>
      <c r="L170" s="2"/>
    </row>
    <row r="171" spans="1:12" ht="56">
      <c r="A171" s="8"/>
      <c r="B171" s="3"/>
      <c r="C171" s="21"/>
      <c r="D171" s="21"/>
      <c r="E171" s="22"/>
      <c r="F171" s="22"/>
      <c r="G171" s="258" t="s">
        <v>140</v>
      </c>
      <c r="H171" s="259" t="s">
        <v>48</v>
      </c>
      <c r="I171" s="142">
        <v>26</v>
      </c>
      <c r="J171" s="127"/>
      <c r="K171" s="40">
        <f t="shared" si="23"/>
        <v>0</v>
      </c>
      <c r="L171" s="2"/>
    </row>
    <row r="172" spans="1:12">
      <c r="A172" s="8"/>
      <c r="B172" s="3"/>
      <c r="C172" s="21"/>
      <c r="D172" s="21"/>
      <c r="E172" s="22"/>
      <c r="F172" s="22"/>
      <c r="G172" s="166"/>
      <c r="H172" s="70"/>
      <c r="I172" s="41"/>
      <c r="J172" s="44"/>
      <c r="K172" s="40"/>
      <c r="L172" s="2"/>
    </row>
    <row r="173" spans="1:12" ht="84">
      <c r="A173" s="8">
        <v>28</v>
      </c>
      <c r="B173" s="3" t="s">
        <v>141</v>
      </c>
      <c r="C173" s="62" t="s">
        <v>41</v>
      </c>
      <c r="D173" s="22">
        <v>88.31</v>
      </c>
      <c r="E173" s="22"/>
      <c r="F173" s="22">
        <f>E173*D173</f>
        <v>0</v>
      </c>
      <c r="G173" s="258" t="s">
        <v>116</v>
      </c>
      <c r="H173" s="259" t="s">
        <v>117</v>
      </c>
      <c r="I173" s="40">
        <f>0.2*D173</f>
        <v>17.662000000000003</v>
      </c>
      <c r="J173" s="127"/>
      <c r="K173" s="40">
        <f t="shared" ref="K173" si="26">J173*I173</f>
        <v>0</v>
      </c>
      <c r="L173" s="2"/>
    </row>
    <row r="174" spans="1:12">
      <c r="A174" s="8"/>
      <c r="B174" s="3"/>
      <c r="C174" s="21"/>
      <c r="D174" s="21"/>
      <c r="E174" s="22"/>
      <c r="F174" s="22"/>
      <c r="G174" s="166"/>
      <c r="H174" s="70"/>
      <c r="I174" s="41"/>
      <c r="J174" s="44"/>
      <c r="K174" s="40"/>
      <c r="L174" s="2"/>
    </row>
    <row r="175" spans="1:12" ht="84">
      <c r="A175" s="8">
        <v>29</v>
      </c>
      <c r="B175" s="10" t="s">
        <v>142</v>
      </c>
      <c r="C175" s="67" t="s">
        <v>41</v>
      </c>
      <c r="D175" s="22">
        <v>88.31</v>
      </c>
      <c r="E175" s="22"/>
      <c r="F175" s="22">
        <f>E175*D175</f>
        <v>0</v>
      </c>
      <c r="G175" s="12" t="s">
        <v>143</v>
      </c>
      <c r="H175" s="27" t="s">
        <v>144</v>
      </c>
      <c r="I175" s="40">
        <f>1.1*74.04</f>
        <v>81.444000000000017</v>
      </c>
      <c r="J175" s="127"/>
      <c r="K175" s="40">
        <f t="shared" ref="K175:K177" si="27">J175*I175</f>
        <v>0</v>
      </c>
      <c r="L175" s="2"/>
    </row>
    <row r="176" spans="1:12" ht="126">
      <c r="A176" s="8"/>
      <c r="B176" s="3"/>
      <c r="C176" s="21"/>
      <c r="D176" s="21"/>
      <c r="E176" s="22"/>
      <c r="F176" s="22"/>
      <c r="G176" s="12" t="s">
        <v>145</v>
      </c>
      <c r="H176" s="27" t="s">
        <v>144</v>
      </c>
      <c r="I176" s="40">
        <f>1.05*14.27</f>
        <v>14.983499999999999</v>
      </c>
      <c r="J176" s="127"/>
      <c r="K176" s="40">
        <f t="shared" si="27"/>
        <v>0</v>
      </c>
      <c r="L176" s="2"/>
    </row>
    <row r="177" spans="1:12" ht="28">
      <c r="A177" s="8"/>
      <c r="B177" s="3"/>
      <c r="C177" s="21"/>
      <c r="D177" s="21"/>
      <c r="E177" s="22"/>
      <c r="F177" s="22"/>
      <c r="G177" s="12" t="s">
        <v>146</v>
      </c>
      <c r="H177" s="27" t="s">
        <v>51</v>
      </c>
      <c r="I177" s="26">
        <f>6.5*D175</f>
        <v>574.01499999999999</v>
      </c>
      <c r="J177" s="127"/>
      <c r="K177" s="26">
        <f t="shared" si="27"/>
        <v>0</v>
      </c>
      <c r="L177" s="2"/>
    </row>
    <row r="178" spans="1:12" ht="28">
      <c r="A178" s="8"/>
      <c r="B178" s="3"/>
      <c r="C178" s="21"/>
      <c r="D178" s="21"/>
      <c r="E178" s="22"/>
      <c r="F178" s="22"/>
      <c r="G178" s="168" t="s">
        <v>147</v>
      </c>
      <c r="H178" s="128" t="s">
        <v>51</v>
      </c>
      <c r="I178" s="40">
        <f>0.46*D175</f>
        <v>40.622600000000006</v>
      </c>
      <c r="J178" s="127"/>
      <c r="K178" s="40">
        <f>J178*I178</f>
        <v>0</v>
      </c>
      <c r="L178" s="2"/>
    </row>
    <row r="179" spans="1:12" ht="28">
      <c r="A179" s="8"/>
      <c r="B179" s="3"/>
      <c r="C179" s="21"/>
      <c r="D179" s="21"/>
      <c r="E179" s="22"/>
      <c r="F179" s="22"/>
      <c r="G179" s="12" t="s">
        <v>148</v>
      </c>
      <c r="H179" s="27" t="s">
        <v>149</v>
      </c>
      <c r="I179" s="40">
        <v>7</v>
      </c>
      <c r="J179" s="127"/>
      <c r="K179" s="40">
        <f>J179*I179</f>
        <v>0</v>
      </c>
      <c r="L179" s="2"/>
    </row>
    <row r="181" spans="1:12">
      <c r="E181" t="s">
        <v>150</v>
      </c>
      <c r="F181" s="253">
        <f>SUM(F3:F179)</f>
        <v>0</v>
      </c>
      <c r="J181" t="s">
        <v>151</v>
      </c>
      <c r="K181" s="253">
        <f>SUM(K3:K179)</f>
        <v>0</v>
      </c>
    </row>
  </sheetData>
  <sheetProtection algorithmName="SHA-512" hashValue="ZEAJnzCkR9eo9hacOopwNUKzouY3aIlCinLy6x7t7Gk8PXuIyngMC580GU/FQfCIBFunQTu+t6q5WP7rg4bjWg==" saltValue="0HBkgEQtqoWh06wZoGpx1g==" spinCount="100000" sheet="1" objects="1" scenarios="1"/>
  <protectedRanges>
    <protectedRange sqref="J3:J179" name="Montage Materials"/>
    <protectedRange sqref="E3:E179" name="Montage works"/>
  </protectedRanges>
  <mergeCells count="7">
    <mergeCell ref="L1:L2"/>
    <mergeCell ref="A1:A2"/>
    <mergeCell ref="B1:B2"/>
    <mergeCell ref="C1:C2"/>
    <mergeCell ref="D1:D2"/>
    <mergeCell ref="E1:F1"/>
    <mergeCell ref="G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9"/>
  <sheetViews>
    <sheetView workbookViewId="0">
      <selection activeCell="E87" sqref="E87"/>
    </sheetView>
  </sheetViews>
  <sheetFormatPr baseColWidth="10" defaultColWidth="8.83203125" defaultRowHeight="13"/>
  <cols>
    <col min="2" max="2" width="33.6640625" customWidth="1"/>
    <col min="6" max="6" width="16.6640625" customWidth="1"/>
    <col min="7" max="7" width="41.33203125" customWidth="1"/>
    <col min="11" max="11" width="16" customWidth="1"/>
  </cols>
  <sheetData>
    <row r="1" spans="1:12">
      <c r="A1" s="285" t="s">
        <v>24</v>
      </c>
      <c r="B1" s="287" t="s">
        <v>25</v>
      </c>
      <c r="C1" s="288" t="s">
        <v>26</v>
      </c>
      <c r="D1" s="288" t="s">
        <v>27</v>
      </c>
      <c r="E1" s="289" t="s">
        <v>28</v>
      </c>
      <c r="F1" s="289"/>
      <c r="G1" s="290" t="s">
        <v>29</v>
      </c>
      <c r="H1" s="290"/>
      <c r="I1" s="290"/>
      <c r="J1" s="290"/>
      <c r="K1" s="290"/>
      <c r="L1" s="284" t="s">
        <v>30</v>
      </c>
    </row>
    <row r="2" spans="1:12" ht="28">
      <c r="A2" s="286"/>
      <c r="B2" s="287"/>
      <c r="C2" s="288"/>
      <c r="D2" s="288"/>
      <c r="E2" s="40" t="s">
        <v>31</v>
      </c>
      <c r="F2" s="40" t="s">
        <v>32</v>
      </c>
      <c r="G2" s="258" t="s">
        <v>33</v>
      </c>
      <c r="H2" s="259" t="s">
        <v>26</v>
      </c>
      <c r="I2" s="259" t="s">
        <v>27</v>
      </c>
      <c r="J2" s="40" t="s">
        <v>31</v>
      </c>
      <c r="K2" s="40" t="s">
        <v>32</v>
      </c>
      <c r="L2" s="284"/>
    </row>
    <row r="3" spans="1:12" ht="14">
      <c r="A3" s="11"/>
      <c r="B3" s="18" t="s">
        <v>152</v>
      </c>
      <c r="C3" s="21"/>
      <c r="D3" s="21"/>
      <c r="E3" s="22"/>
      <c r="F3" s="22"/>
      <c r="G3" s="12"/>
      <c r="H3" s="27"/>
      <c r="I3" s="40"/>
      <c r="J3" s="127"/>
      <c r="K3" s="40"/>
      <c r="L3" s="2"/>
    </row>
    <row r="4" spans="1:12" ht="28">
      <c r="A4" s="193">
        <v>30</v>
      </c>
      <c r="B4" s="103" t="s">
        <v>153</v>
      </c>
      <c r="C4" s="66" t="s">
        <v>41</v>
      </c>
      <c r="D4" s="23">
        <v>99.96</v>
      </c>
      <c r="E4" s="54"/>
      <c r="F4" s="55">
        <f>D4*E4</f>
        <v>0</v>
      </c>
      <c r="G4" s="103" t="s">
        <v>154</v>
      </c>
      <c r="H4" s="129" t="s">
        <v>155</v>
      </c>
      <c r="I4" s="23">
        <v>141</v>
      </c>
      <c r="J4" s="130"/>
      <c r="K4" s="131">
        <f>I4*J4</f>
        <v>0</v>
      </c>
      <c r="L4" s="2"/>
    </row>
    <row r="5" spans="1:12" ht="14">
      <c r="A5" s="11"/>
      <c r="B5" s="103"/>
      <c r="C5" s="66"/>
      <c r="D5" s="23"/>
      <c r="E5" s="54"/>
      <c r="F5" s="55"/>
      <c r="G5" s="103" t="s">
        <v>156</v>
      </c>
      <c r="H5" s="129" t="s">
        <v>157</v>
      </c>
      <c r="I5" s="23">
        <f>D4</f>
        <v>99.96</v>
      </c>
      <c r="J5" s="130"/>
      <c r="K5" s="131">
        <f t="shared" ref="K5:K14" si="0">I5*J5</f>
        <v>0</v>
      </c>
      <c r="L5" s="2"/>
    </row>
    <row r="6" spans="1:12" ht="14">
      <c r="A6" s="11"/>
      <c r="B6" s="103"/>
      <c r="C6" s="66"/>
      <c r="D6" s="23"/>
      <c r="E6" s="54"/>
      <c r="F6" s="55"/>
      <c r="G6" s="103" t="s">
        <v>158</v>
      </c>
      <c r="H6" s="129" t="s">
        <v>159</v>
      </c>
      <c r="I6" s="23">
        <v>50</v>
      </c>
      <c r="J6" s="130"/>
      <c r="K6" s="131">
        <f t="shared" si="0"/>
        <v>0</v>
      </c>
      <c r="L6" s="2"/>
    </row>
    <row r="7" spans="1:12" ht="28">
      <c r="A7" s="11">
        <v>31</v>
      </c>
      <c r="B7" s="103" t="s">
        <v>160</v>
      </c>
      <c r="C7" s="66" t="s">
        <v>161</v>
      </c>
      <c r="D7" s="23">
        <v>8</v>
      </c>
      <c r="E7" s="54"/>
      <c r="F7" s="55">
        <f>D7*E7</f>
        <v>0</v>
      </c>
      <c r="G7" s="103" t="s">
        <v>162</v>
      </c>
      <c r="H7" s="129" t="s">
        <v>161</v>
      </c>
      <c r="I7" s="23">
        <f>D7</f>
        <v>8</v>
      </c>
      <c r="J7" s="130"/>
      <c r="K7" s="131">
        <f t="shared" si="0"/>
        <v>0</v>
      </c>
      <c r="L7" s="2"/>
    </row>
    <row r="8" spans="1:12" ht="28">
      <c r="A8" s="11">
        <v>32</v>
      </c>
      <c r="B8" s="103" t="s">
        <v>163</v>
      </c>
      <c r="C8" s="66" t="s">
        <v>161</v>
      </c>
      <c r="D8" s="23">
        <v>1</v>
      </c>
      <c r="E8" s="54"/>
      <c r="F8" s="55">
        <f>D8*E8</f>
        <v>0</v>
      </c>
      <c r="G8" s="103" t="s">
        <v>164</v>
      </c>
      <c r="H8" s="129" t="s">
        <v>161</v>
      </c>
      <c r="I8" s="23">
        <f>D8</f>
        <v>1</v>
      </c>
      <c r="J8" s="130"/>
      <c r="K8" s="131">
        <f t="shared" si="0"/>
        <v>0</v>
      </c>
      <c r="L8" s="2"/>
    </row>
    <row r="9" spans="1:12" ht="28">
      <c r="A9" s="11">
        <v>33</v>
      </c>
      <c r="B9" s="103" t="s">
        <v>165</v>
      </c>
      <c r="C9" s="66" t="s">
        <v>161</v>
      </c>
      <c r="D9" s="23">
        <v>4</v>
      </c>
      <c r="E9" s="54"/>
      <c r="F9" s="55">
        <f>D9*E9</f>
        <v>0</v>
      </c>
      <c r="G9" s="103" t="s">
        <v>162</v>
      </c>
      <c r="H9" s="129" t="s">
        <v>161</v>
      </c>
      <c r="I9" s="23">
        <f>D9</f>
        <v>4</v>
      </c>
      <c r="J9" s="130"/>
      <c r="K9" s="131">
        <f t="shared" si="0"/>
        <v>0</v>
      </c>
      <c r="L9" s="2"/>
    </row>
    <row r="10" spans="1:12" ht="14">
      <c r="A10" s="11">
        <v>34</v>
      </c>
      <c r="B10" s="103" t="s">
        <v>166</v>
      </c>
      <c r="C10" s="66" t="s">
        <v>41</v>
      </c>
      <c r="D10" s="23">
        <v>43.4</v>
      </c>
      <c r="E10" s="54"/>
      <c r="F10" s="55">
        <f t="shared" ref="F10:F24" si="1">D10*E10</f>
        <v>0</v>
      </c>
      <c r="G10" s="103" t="s">
        <v>167</v>
      </c>
      <c r="H10" s="129" t="s">
        <v>157</v>
      </c>
      <c r="I10" s="23">
        <f>D10</f>
        <v>43.4</v>
      </c>
      <c r="J10" s="130"/>
      <c r="K10" s="131">
        <f t="shared" si="0"/>
        <v>0</v>
      </c>
      <c r="L10" s="2"/>
    </row>
    <row r="11" spans="1:12">
      <c r="A11" s="11"/>
      <c r="B11" s="103"/>
      <c r="C11" s="66"/>
      <c r="D11" s="23"/>
      <c r="E11" s="54"/>
      <c r="F11" s="55"/>
      <c r="G11" s="103"/>
      <c r="H11" s="129"/>
      <c r="I11" s="23"/>
      <c r="J11" s="130"/>
      <c r="K11" s="131"/>
      <c r="L11" s="2"/>
    </row>
    <row r="12" spans="1:12" ht="14">
      <c r="A12" s="11">
        <v>35</v>
      </c>
      <c r="B12" s="103" t="s">
        <v>166</v>
      </c>
      <c r="C12" s="66" t="s">
        <v>41</v>
      </c>
      <c r="D12" s="23">
        <f>0.9*2.8*4+2+2</f>
        <v>14.08</v>
      </c>
      <c r="E12" s="54"/>
      <c r="F12" s="55">
        <f t="shared" si="1"/>
        <v>0</v>
      </c>
      <c r="G12" s="103" t="s">
        <v>168</v>
      </c>
      <c r="H12" s="129" t="s">
        <v>157</v>
      </c>
      <c r="I12" s="23">
        <f>D12</f>
        <v>14.08</v>
      </c>
      <c r="J12" s="130"/>
      <c r="K12" s="131">
        <f t="shared" si="0"/>
        <v>0</v>
      </c>
      <c r="L12" s="2"/>
    </row>
    <row r="13" spans="1:12">
      <c r="A13" s="11"/>
      <c r="B13" s="103"/>
      <c r="C13" s="66"/>
      <c r="D13" s="23"/>
      <c r="E13" s="54"/>
      <c r="F13" s="55"/>
      <c r="G13" s="103"/>
      <c r="H13" s="129"/>
      <c r="I13" s="23"/>
      <c r="J13" s="130"/>
      <c r="K13" s="131"/>
      <c r="L13" s="2"/>
    </row>
    <row r="14" spans="1:12" ht="14">
      <c r="A14" s="11">
        <v>36</v>
      </c>
      <c r="B14" s="103" t="s">
        <v>166</v>
      </c>
      <c r="C14" s="66" t="s">
        <v>41</v>
      </c>
      <c r="D14" s="23">
        <f>(5.39+1.23+3.5)*1.2</f>
        <v>12.143999999999998</v>
      </c>
      <c r="E14" s="54"/>
      <c r="F14" s="55">
        <f t="shared" si="1"/>
        <v>0</v>
      </c>
      <c r="G14" s="103" t="s">
        <v>169</v>
      </c>
      <c r="H14" s="129" t="s">
        <v>157</v>
      </c>
      <c r="I14" s="23">
        <f>D14</f>
        <v>12.143999999999998</v>
      </c>
      <c r="J14" s="130"/>
      <c r="K14" s="131">
        <f t="shared" si="0"/>
        <v>0</v>
      </c>
      <c r="L14" s="2"/>
    </row>
    <row r="15" spans="1:12">
      <c r="A15" s="11"/>
      <c r="B15" s="103"/>
      <c r="C15" s="66"/>
      <c r="D15" s="23"/>
      <c r="E15" s="54"/>
      <c r="F15" s="55"/>
      <c r="G15" s="103"/>
      <c r="H15" s="129"/>
      <c r="I15" s="23"/>
      <c r="J15" s="130"/>
      <c r="K15" s="131"/>
      <c r="L15" s="2"/>
    </row>
    <row r="16" spans="1:12" ht="28">
      <c r="A16" s="11">
        <v>37</v>
      </c>
      <c r="B16" s="103" t="s">
        <v>170</v>
      </c>
      <c r="C16" s="66" t="s">
        <v>159</v>
      </c>
      <c r="D16" s="23">
        <f>I4</f>
        <v>141</v>
      </c>
      <c r="E16" s="54"/>
      <c r="F16" s="55">
        <f t="shared" si="1"/>
        <v>0</v>
      </c>
      <c r="G16" s="103"/>
      <c r="H16" s="129"/>
      <c r="I16" s="23"/>
      <c r="J16" s="130"/>
      <c r="K16" s="131"/>
      <c r="L16" s="2"/>
    </row>
    <row r="17" spans="1:12">
      <c r="A17" s="11"/>
      <c r="B17" s="103"/>
      <c r="C17" s="66"/>
      <c r="D17" s="23"/>
      <c r="E17" s="54"/>
      <c r="F17" s="55"/>
      <c r="G17" s="103"/>
      <c r="H17" s="129"/>
      <c r="I17" s="23"/>
      <c r="J17" s="130"/>
      <c r="K17" s="131"/>
      <c r="L17" s="2"/>
    </row>
    <row r="18" spans="1:12" ht="14">
      <c r="A18" s="11">
        <v>38</v>
      </c>
      <c r="B18" s="103" t="s">
        <v>171</v>
      </c>
      <c r="C18" s="66" t="s">
        <v>161</v>
      </c>
      <c r="D18" s="23">
        <f>D7+D8+D113</f>
        <v>9</v>
      </c>
      <c r="E18" s="54"/>
      <c r="F18" s="55">
        <f t="shared" si="1"/>
        <v>0</v>
      </c>
      <c r="G18" s="103"/>
      <c r="H18" s="129"/>
      <c r="I18" s="23"/>
      <c r="J18" s="130"/>
      <c r="K18" s="131"/>
      <c r="L18" s="2"/>
    </row>
    <row r="19" spans="1:12">
      <c r="A19" s="11"/>
      <c r="B19" s="103"/>
      <c r="C19" s="66"/>
      <c r="D19" s="23"/>
      <c r="E19" s="54"/>
      <c r="F19" s="55"/>
      <c r="G19" s="103"/>
      <c r="H19" s="129"/>
      <c r="I19" s="23"/>
      <c r="J19" s="130"/>
      <c r="K19" s="131"/>
      <c r="L19" s="2"/>
    </row>
    <row r="20" spans="1:12" ht="70">
      <c r="A20" s="11">
        <v>39</v>
      </c>
      <c r="B20" s="103" t="s">
        <v>172</v>
      </c>
      <c r="C20" s="66" t="s">
        <v>41</v>
      </c>
      <c r="D20" s="23">
        <f>1.45*2.11</f>
        <v>3.0594999999999999</v>
      </c>
      <c r="E20" s="54"/>
      <c r="F20" s="55">
        <f t="shared" si="1"/>
        <v>0</v>
      </c>
      <c r="G20" s="103" t="s">
        <v>173</v>
      </c>
      <c r="H20" s="129" t="s">
        <v>157</v>
      </c>
      <c r="I20" s="23">
        <f>D20</f>
        <v>3.0594999999999999</v>
      </c>
      <c r="J20" s="130"/>
      <c r="K20" s="131">
        <f>I20*J20</f>
        <v>0</v>
      </c>
      <c r="L20" s="2"/>
    </row>
    <row r="21" spans="1:12">
      <c r="A21" s="11"/>
      <c r="B21" s="103"/>
      <c r="C21" s="66"/>
      <c r="D21" s="23"/>
      <c r="E21" s="54"/>
      <c r="F21" s="55"/>
      <c r="G21" s="103"/>
      <c r="H21" s="129"/>
      <c r="I21" s="23"/>
      <c r="J21" s="130"/>
      <c r="K21" s="131"/>
      <c r="L21" s="2"/>
    </row>
    <row r="22" spans="1:12" ht="84">
      <c r="A22" s="11">
        <v>40</v>
      </c>
      <c r="B22" s="103" t="s">
        <v>174</v>
      </c>
      <c r="C22" s="66" t="s">
        <v>41</v>
      </c>
      <c r="D22" s="23">
        <f>1*2.1</f>
        <v>2.1</v>
      </c>
      <c r="E22" s="54"/>
      <c r="F22" s="55">
        <f t="shared" si="1"/>
        <v>0</v>
      </c>
      <c r="G22" s="103" t="s">
        <v>175</v>
      </c>
      <c r="H22" s="129" t="s">
        <v>157</v>
      </c>
      <c r="I22" s="23">
        <f>D22</f>
        <v>2.1</v>
      </c>
      <c r="J22" s="130"/>
      <c r="K22" s="131">
        <f>I22*J22</f>
        <v>0</v>
      </c>
      <c r="L22" s="2"/>
    </row>
    <row r="23" spans="1:12">
      <c r="A23" s="11"/>
      <c r="B23" s="103"/>
      <c r="C23" s="66"/>
      <c r="D23" s="23"/>
      <c r="E23" s="54"/>
      <c r="F23" s="55"/>
      <c r="G23" s="103"/>
      <c r="H23" s="129"/>
      <c r="I23" s="23"/>
      <c r="J23" s="130"/>
      <c r="K23" s="131"/>
      <c r="L23" s="2"/>
    </row>
    <row r="24" spans="1:12" ht="84">
      <c r="A24" s="11">
        <v>41</v>
      </c>
      <c r="B24" s="103" t="s">
        <v>176</v>
      </c>
      <c r="C24" s="66" t="s">
        <v>41</v>
      </c>
      <c r="D24" s="23">
        <f>0.9*2.1</f>
        <v>1.8900000000000001</v>
      </c>
      <c r="E24" s="54"/>
      <c r="F24" s="55">
        <f t="shared" si="1"/>
        <v>0</v>
      </c>
      <c r="G24" s="103" t="s">
        <v>177</v>
      </c>
      <c r="H24" s="129" t="s">
        <v>157</v>
      </c>
      <c r="I24" s="23">
        <f>D24</f>
        <v>1.8900000000000001</v>
      </c>
      <c r="J24" s="130"/>
      <c r="K24" s="131">
        <f>I24*J24</f>
        <v>0</v>
      </c>
      <c r="L24" s="2"/>
    </row>
    <row r="25" spans="1:12">
      <c r="A25" s="11"/>
      <c r="B25" s="103"/>
      <c r="C25" s="66"/>
      <c r="D25" s="23"/>
      <c r="E25" s="54"/>
      <c r="F25" s="55"/>
      <c r="G25" s="103"/>
      <c r="H25" s="129"/>
      <c r="I25" s="23"/>
      <c r="J25" s="130"/>
      <c r="K25" s="131"/>
      <c r="L25" s="2"/>
    </row>
    <row r="26" spans="1:12" ht="14">
      <c r="A26" s="11">
        <v>42</v>
      </c>
      <c r="B26" s="103" t="s">
        <v>178</v>
      </c>
      <c r="C26" s="66" t="s">
        <v>41</v>
      </c>
      <c r="D26" s="23">
        <f>D24+D22+D20+I5</f>
        <v>107.00949999999999</v>
      </c>
      <c r="E26" s="54"/>
      <c r="F26" s="55">
        <f>E26*D26</f>
        <v>0</v>
      </c>
      <c r="G26" s="103"/>
      <c r="H26" s="129"/>
      <c r="I26" s="23"/>
      <c r="J26" s="130"/>
      <c r="K26" s="131"/>
      <c r="L26" s="2"/>
    </row>
    <row r="27" spans="1:12">
      <c r="A27" s="11"/>
      <c r="B27" s="103"/>
      <c r="C27" s="66"/>
      <c r="D27" s="23"/>
      <c r="E27" s="54"/>
      <c r="F27" s="55"/>
      <c r="G27" s="103"/>
      <c r="H27" s="129"/>
      <c r="I27" s="23"/>
      <c r="J27" s="130"/>
      <c r="K27" s="131"/>
      <c r="L27" s="2"/>
    </row>
    <row r="28" spans="1:12" ht="14">
      <c r="A28" s="11">
        <v>43</v>
      </c>
      <c r="B28" s="103" t="s">
        <v>179</v>
      </c>
      <c r="C28" s="66" t="s">
        <v>41</v>
      </c>
      <c r="D28" s="23">
        <f>22*2.8</f>
        <v>61.599999999999994</v>
      </c>
      <c r="E28" s="54"/>
      <c r="F28" s="55">
        <f>E28*D28</f>
        <v>0</v>
      </c>
      <c r="G28" s="103" t="s">
        <v>180</v>
      </c>
      <c r="H28" s="66" t="s">
        <v>41</v>
      </c>
      <c r="I28" s="23">
        <f>D28</f>
        <v>61.599999999999994</v>
      </c>
      <c r="J28" s="130"/>
      <c r="K28" s="131">
        <f>J28*I28</f>
        <v>0</v>
      </c>
      <c r="L28" s="2"/>
    </row>
    <row r="29" spans="1:12">
      <c r="A29" s="11"/>
      <c r="B29" s="103"/>
      <c r="C29" s="66"/>
      <c r="D29" s="23"/>
      <c r="E29" s="54"/>
      <c r="F29" s="55"/>
      <c r="G29" s="103"/>
      <c r="H29" s="66"/>
      <c r="I29" s="23"/>
      <c r="J29" s="130"/>
      <c r="K29" s="131"/>
      <c r="L29" s="2"/>
    </row>
    <row r="30" spans="1:12" ht="14">
      <c r="A30" s="11">
        <v>44</v>
      </c>
      <c r="B30" s="103" t="s">
        <v>181</v>
      </c>
      <c r="C30" s="66" t="s">
        <v>41</v>
      </c>
      <c r="D30" s="23">
        <v>15.41</v>
      </c>
      <c r="E30" s="54"/>
      <c r="F30" s="55">
        <f>E30*D30</f>
        <v>0</v>
      </c>
      <c r="G30" s="103" t="s">
        <v>182</v>
      </c>
      <c r="H30" s="66" t="s">
        <v>41</v>
      </c>
      <c r="I30" s="23">
        <v>15.41</v>
      </c>
      <c r="J30" s="130"/>
      <c r="K30" s="131">
        <f>J30*I30</f>
        <v>0</v>
      </c>
      <c r="L30" s="2"/>
    </row>
    <row r="31" spans="1:12">
      <c r="A31" s="11"/>
      <c r="B31" s="103"/>
      <c r="C31" s="66"/>
      <c r="D31" s="23"/>
      <c r="E31" s="54"/>
      <c r="F31" s="55"/>
      <c r="G31" s="103"/>
      <c r="H31" s="66"/>
      <c r="I31" s="23"/>
      <c r="J31" s="130"/>
      <c r="K31" s="131"/>
      <c r="L31" s="2"/>
    </row>
    <row r="32" spans="1:12" ht="42">
      <c r="A32" s="11">
        <v>45</v>
      </c>
      <c r="B32" s="3" t="s">
        <v>183</v>
      </c>
      <c r="C32" s="21" t="s">
        <v>41</v>
      </c>
      <c r="D32" s="21">
        <f>38.62-18.56+40.61</f>
        <v>60.67</v>
      </c>
      <c r="E32" s="178"/>
      <c r="F32" s="22">
        <f>E32*D32</f>
        <v>0</v>
      </c>
      <c r="G32" s="166" t="s">
        <v>184</v>
      </c>
      <c r="H32" s="70" t="s">
        <v>48</v>
      </c>
      <c r="I32" s="41">
        <v>70</v>
      </c>
      <c r="J32" s="44"/>
      <c r="K32" s="40">
        <f>J32*I32</f>
        <v>0</v>
      </c>
      <c r="L32" s="2"/>
    </row>
    <row r="33" spans="1:12" ht="28">
      <c r="A33" s="8"/>
      <c r="B33" s="3"/>
      <c r="C33" s="21"/>
      <c r="D33" s="21"/>
      <c r="E33" s="178"/>
      <c r="F33" s="22"/>
      <c r="G33" s="166" t="s">
        <v>185</v>
      </c>
      <c r="H33" s="70" t="s">
        <v>48</v>
      </c>
      <c r="I33" s="41">
        <v>70</v>
      </c>
      <c r="J33" s="44"/>
      <c r="K33" s="40">
        <f>J33*I33</f>
        <v>0</v>
      </c>
      <c r="L33" s="2"/>
    </row>
    <row r="34" spans="1:12" ht="14">
      <c r="A34" s="8"/>
      <c r="B34" s="3"/>
      <c r="C34" s="21"/>
      <c r="D34" s="21"/>
      <c r="E34" s="178"/>
      <c r="F34" s="22"/>
      <c r="G34" s="106" t="s">
        <v>113</v>
      </c>
      <c r="H34" s="70" t="s">
        <v>74</v>
      </c>
      <c r="I34" s="41">
        <v>114</v>
      </c>
      <c r="J34" s="126"/>
      <c r="K34" s="40">
        <f t="shared" ref="K34:K38" si="2">J34*I34</f>
        <v>0</v>
      </c>
      <c r="L34" s="2"/>
    </row>
    <row r="35" spans="1:12" ht="14">
      <c r="A35" s="8"/>
      <c r="B35" s="3"/>
      <c r="C35" s="21"/>
      <c r="D35" s="21"/>
      <c r="E35" s="178"/>
      <c r="F35" s="22"/>
      <c r="G35" s="106" t="s">
        <v>110</v>
      </c>
      <c r="H35" s="70" t="s">
        <v>48</v>
      </c>
      <c r="I35" s="41">
        <f>1.5*I34</f>
        <v>171</v>
      </c>
      <c r="J35" s="38"/>
      <c r="K35" s="40">
        <f>J35*I35</f>
        <v>0</v>
      </c>
      <c r="L35" s="2"/>
    </row>
    <row r="36" spans="1:12" ht="14">
      <c r="A36" s="8"/>
      <c r="B36" s="3"/>
      <c r="C36" s="21"/>
      <c r="D36" s="21"/>
      <c r="E36" s="178"/>
      <c r="F36" s="22"/>
      <c r="G36" s="166" t="s">
        <v>186</v>
      </c>
      <c r="H36" s="70" t="s">
        <v>48</v>
      </c>
      <c r="I36" s="41">
        <f>2*I35</f>
        <v>342</v>
      </c>
      <c r="J36" s="126"/>
      <c r="K36" s="40">
        <f t="shared" si="2"/>
        <v>0</v>
      </c>
      <c r="L36" s="2"/>
    </row>
    <row r="37" spans="1:12" ht="14">
      <c r="A37" s="8"/>
      <c r="B37" s="3"/>
      <c r="C37" s="21"/>
      <c r="D37" s="21"/>
      <c r="E37" s="178"/>
      <c r="F37" s="22"/>
      <c r="G37" s="258" t="s">
        <v>187</v>
      </c>
      <c r="H37" s="70" t="s">
        <v>48</v>
      </c>
      <c r="I37" s="41">
        <v>2000</v>
      </c>
      <c r="J37" s="44"/>
      <c r="K37" s="40">
        <f t="shared" si="2"/>
        <v>0</v>
      </c>
      <c r="L37" s="2"/>
    </row>
    <row r="38" spans="1:12" ht="14">
      <c r="A38" s="8"/>
      <c r="B38" s="3"/>
      <c r="C38" s="21"/>
      <c r="D38" s="21"/>
      <c r="E38" s="178"/>
      <c r="F38" s="22"/>
      <c r="G38" s="106" t="s">
        <v>77</v>
      </c>
      <c r="H38" s="70" t="s">
        <v>48</v>
      </c>
      <c r="I38" s="41">
        <f>4*I35</f>
        <v>684</v>
      </c>
      <c r="J38" s="126"/>
      <c r="K38" s="40">
        <f t="shared" si="2"/>
        <v>0</v>
      </c>
      <c r="L38" s="2"/>
    </row>
    <row r="39" spans="1:12">
      <c r="A39" s="8"/>
      <c r="B39" s="3"/>
      <c r="C39" s="21"/>
      <c r="D39" s="21"/>
      <c r="E39" s="178"/>
      <c r="F39" s="22"/>
      <c r="G39" s="166"/>
      <c r="H39" s="70"/>
      <c r="I39" s="41"/>
      <c r="J39" s="44"/>
      <c r="K39" s="40"/>
      <c r="L39" s="2"/>
    </row>
    <row r="40" spans="1:12" ht="42">
      <c r="A40" s="8">
        <v>46</v>
      </c>
      <c r="B40" s="3" t="s">
        <v>188</v>
      </c>
      <c r="C40" s="21" t="s">
        <v>41</v>
      </c>
      <c r="D40" s="21">
        <v>6.8</v>
      </c>
      <c r="E40" s="178"/>
      <c r="F40" s="22">
        <f>E40*D40</f>
        <v>0</v>
      </c>
      <c r="G40" s="166" t="s">
        <v>189</v>
      </c>
      <c r="H40" s="70" t="s">
        <v>48</v>
      </c>
      <c r="I40" s="41">
        <v>168</v>
      </c>
      <c r="J40" s="44"/>
      <c r="K40" s="40">
        <f>J40*I40</f>
        <v>0</v>
      </c>
      <c r="L40" s="2"/>
    </row>
    <row r="41" spans="1:12" ht="14">
      <c r="A41" s="8"/>
      <c r="B41" s="3"/>
      <c r="C41" s="21"/>
      <c r="D41" s="21"/>
      <c r="E41" s="178"/>
      <c r="F41" s="22"/>
      <c r="G41" s="106" t="s">
        <v>113</v>
      </c>
      <c r="H41" s="70" t="s">
        <v>74</v>
      </c>
      <c r="I41" s="41">
        <v>96</v>
      </c>
      <c r="J41" s="126"/>
      <c r="K41" s="40">
        <f t="shared" ref="K41:K46" si="3">J41*I41</f>
        <v>0</v>
      </c>
      <c r="L41" s="2"/>
    </row>
    <row r="42" spans="1:12" ht="14">
      <c r="A42" s="8"/>
      <c r="B42" s="3"/>
      <c r="C42" s="21"/>
      <c r="D42" s="21"/>
      <c r="E42" s="178"/>
      <c r="F42" s="22"/>
      <c r="G42" s="106" t="s">
        <v>112</v>
      </c>
      <c r="H42" s="70" t="s">
        <v>74</v>
      </c>
      <c r="I42" s="40">
        <v>12</v>
      </c>
      <c r="J42" s="126"/>
      <c r="K42" s="40">
        <f t="shared" si="3"/>
        <v>0</v>
      </c>
      <c r="L42" s="2"/>
    </row>
    <row r="43" spans="1:12" ht="14">
      <c r="A43" s="8"/>
      <c r="B43" s="3"/>
      <c r="C43" s="21"/>
      <c r="D43" s="21"/>
      <c r="E43" s="178"/>
      <c r="F43" s="22"/>
      <c r="G43" s="106" t="s">
        <v>110</v>
      </c>
      <c r="H43" s="70" t="s">
        <v>48</v>
      </c>
      <c r="I43" s="41">
        <v>70</v>
      </c>
      <c r="J43" s="38"/>
      <c r="K43" s="40">
        <f>J43*I43</f>
        <v>0</v>
      </c>
      <c r="L43" s="2"/>
    </row>
    <row r="44" spans="1:12" ht="14">
      <c r="A44" s="8"/>
      <c r="B44" s="3"/>
      <c r="C44" s="21"/>
      <c r="D44" s="21"/>
      <c r="E44" s="178"/>
      <c r="F44" s="22"/>
      <c r="G44" s="258" t="s">
        <v>187</v>
      </c>
      <c r="H44" s="70" t="s">
        <v>48</v>
      </c>
      <c r="I44" s="41">
        <v>1700</v>
      </c>
      <c r="J44" s="126"/>
      <c r="K44" s="40">
        <f t="shared" si="3"/>
        <v>0</v>
      </c>
      <c r="L44" s="2"/>
    </row>
    <row r="45" spans="1:12" ht="14">
      <c r="A45" s="8"/>
      <c r="B45" s="3"/>
      <c r="C45" s="21"/>
      <c r="D45" s="21"/>
      <c r="E45" s="178"/>
      <c r="F45" s="22"/>
      <c r="G45" s="106" t="s">
        <v>77</v>
      </c>
      <c r="H45" s="70" t="s">
        <v>48</v>
      </c>
      <c r="I45" s="41">
        <v>1800</v>
      </c>
      <c r="J45" s="126"/>
      <c r="K45" s="40">
        <f t="shared" si="3"/>
        <v>0</v>
      </c>
      <c r="L45" s="2"/>
    </row>
    <row r="46" spans="1:12" ht="14">
      <c r="A46" s="8"/>
      <c r="B46" s="3"/>
      <c r="C46" s="21"/>
      <c r="D46" s="21"/>
      <c r="E46" s="178"/>
      <c r="F46" s="22"/>
      <c r="G46" s="166" t="s">
        <v>186</v>
      </c>
      <c r="H46" s="70" t="s">
        <v>48</v>
      </c>
      <c r="I46" s="41">
        <v>240</v>
      </c>
      <c r="J46" s="44"/>
      <c r="K46" s="40">
        <f t="shared" si="3"/>
        <v>0</v>
      </c>
      <c r="L46" s="2"/>
    </row>
    <row r="47" spans="1:12">
      <c r="A47" s="8"/>
      <c r="B47" s="3"/>
      <c r="C47" s="21"/>
      <c r="D47" s="21"/>
      <c r="E47" s="178"/>
      <c r="F47" s="22"/>
      <c r="G47" s="166"/>
      <c r="H47" s="70"/>
      <c r="I47" s="41"/>
      <c r="J47" s="44"/>
      <c r="K47" s="40"/>
      <c r="L47" s="2"/>
    </row>
    <row r="48" spans="1:12" ht="42">
      <c r="A48" s="8">
        <v>47</v>
      </c>
      <c r="B48" s="3" t="s">
        <v>190</v>
      </c>
      <c r="C48" s="21" t="s">
        <v>41</v>
      </c>
      <c r="D48" s="21">
        <v>13</v>
      </c>
      <c r="E48" s="178"/>
      <c r="F48" s="22">
        <f>E48*D48</f>
        <v>0</v>
      </c>
      <c r="G48" s="166" t="s">
        <v>191</v>
      </c>
      <c r="H48" s="70" t="s">
        <v>48</v>
      </c>
      <c r="I48" s="41">
        <v>80</v>
      </c>
      <c r="J48" s="44"/>
      <c r="K48" s="40">
        <f>J48*I48</f>
        <v>0</v>
      </c>
      <c r="L48" s="2"/>
    </row>
    <row r="49" spans="1:12" ht="14">
      <c r="A49" s="8"/>
      <c r="B49" s="3"/>
      <c r="C49" s="21"/>
      <c r="D49" s="21"/>
      <c r="E49" s="178"/>
      <c r="F49" s="22"/>
      <c r="G49" s="106" t="s">
        <v>113</v>
      </c>
      <c r="H49" s="70" t="s">
        <v>74</v>
      </c>
      <c r="I49" s="41">
        <v>94</v>
      </c>
      <c r="J49" s="126"/>
      <c r="K49" s="40">
        <f t="shared" ref="K49:K50" si="4">J49*I49</f>
        <v>0</v>
      </c>
      <c r="L49" s="2"/>
    </row>
    <row r="50" spans="1:12" ht="14">
      <c r="A50" s="8"/>
      <c r="B50" s="3"/>
      <c r="C50" s="21"/>
      <c r="D50" s="21"/>
      <c r="E50" s="178"/>
      <c r="F50" s="22"/>
      <c r="G50" s="106" t="s">
        <v>112</v>
      </c>
      <c r="H50" s="70" t="s">
        <v>74</v>
      </c>
      <c r="I50" s="43">
        <v>9</v>
      </c>
      <c r="J50" s="126"/>
      <c r="K50" s="40">
        <f t="shared" si="4"/>
        <v>0</v>
      </c>
      <c r="L50" s="2"/>
    </row>
    <row r="51" spans="1:12" ht="14">
      <c r="A51" s="8"/>
      <c r="B51" s="3"/>
      <c r="C51" s="21"/>
      <c r="D51" s="21"/>
      <c r="E51" s="178"/>
      <c r="F51" s="22"/>
      <c r="G51" s="106" t="s">
        <v>110</v>
      </c>
      <c r="H51" s="70" t="s">
        <v>48</v>
      </c>
      <c r="I51" s="41">
        <v>70</v>
      </c>
      <c r="J51" s="38"/>
      <c r="K51" s="40">
        <f>J51*I51</f>
        <v>0</v>
      </c>
      <c r="L51" s="2"/>
    </row>
    <row r="52" spans="1:12" ht="14">
      <c r="A52" s="8"/>
      <c r="B52" s="3"/>
      <c r="C52" s="21"/>
      <c r="D52" s="21"/>
      <c r="E52" s="178"/>
      <c r="F52" s="22"/>
      <c r="G52" s="166" t="s">
        <v>186</v>
      </c>
      <c r="H52" s="70" t="s">
        <v>48</v>
      </c>
      <c r="I52" s="41">
        <v>240</v>
      </c>
      <c r="J52" s="126"/>
      <c r="K52" s="40">
        <f t="shared" ref="K52:K54" si="5">J52*I52</f>
        <v>0</v>
      </c>
      <c r="L52" s="2"/>
    </row>
    <row r="53" spans="1:12" ht="14">
      <c r="A53" s="8"/>
      <c r="B53" s="3"/>
      <c r="C53" s="21"/>
      <c r="D53" s="21"/>
      <c r="E53" s="178"/>
      <c r="F53" s="22"/>
      <c r="G53" s="106" t="s">
        <v>77</v>
      </c>
      <c r="H53" s="70" t="s">
        <v>48</v>
      </c>
      <c r="I53" s="41">
        <v>1000</v>
      </c>
      <c r="J53" s="126"/>
      <c r="K53" s="40">
        <f t="shared" si="5"/>
        <v>0</v>
      </c>
      <c r="L53" s="2"/>
    </row>
    <row r="54" spans="1:12" ht="14">
      <c r="A54" s="8"/>
      <c r="B54" s="3"/>
      <c r="C54" s="21"/>
      <c r="D54" s="21"/>
      <c r="E54" s="178"/>
      <c r="F54" s="22"/>
      <c r="G54" s="258" t="s">
        <v>187</v>
      </c>
      <c r="H54" s="70" t="s">
        <v>48</v>
      </c>
      <c r="I54" s="41">
        <v>1300</v>
      </c>
      <c r="J54" s="44"/>
      <c r="K54" s="40">
        <f t="shared" si="5"/>
        <v>0</v>
      </c>
      <c r="L54" s="2"/>
    </row>
    <row r="55" spans="1:12">
      <c r="A55" s="8"/>
      <c r="B55" s="3"/>
      <c r="C55" s="21"/>
      <c r="D55" s="21"/>
      <c r="E55" s="178"/>
      <c r="F55" s="22"/>
      <c r="G55" s="166"/>
      <c r="H55" s="70"/>
      <c r="I55" s="41"/>
      <c r="J55" s="44"/>
      <c r="K55" s="40"/>
      <c r="L55" s="2"/>
    </row>
    <row r="56" spans="1:12" ht="28">
      <c r="A56" s="8">
        <v>48</v>
      </c>
      <c r="B56" s="3" t="s">
        <v>192</v>
      </c>
      <c r="C56" s="21" t="s">
        <v>41</v>
      </c>
      <c r="D56" s="21">
        <v>31.95</v>
      </c>
      <c r="E56" s="178"/>
      <c r="F56" s="22">
        <f>E56*D56</f>
        <v>0</v>
      </c>
      <c r="G56" s="258" t="s">
        <v>116</v>
      </c>
      <c r="H56" s="259" t="s">
        <v>117</v>
      </c>
      <c r="I56" s="40">
        <f>0.2*D56</f>
        <v>6.3900000000000006</v>
      </c>
      <c r="J56" s="127"/>
      <c r="K56" s="40">
        <f t="shared" ref="K56:K57" si="6">J56*I56</f>
        <v>0</v>
      </c>
      <c r="L56" s="2"/>
    </row>
    <row r="57" spans="1:12" ht="14">
      <c r="A57" s="8"/>
      <c r="B57" s="3"/>
      <c r="C57" s="21"/>
      <c r="D57" s="21"/>
      <c r="E57" s="178"/>
      <c r="F57" s="22"/>
      <c r="G57" s="166" t="s">
        <v>193</v>
      </c>
      <c r="H57" s="70" t="s">
        <v>41</v>
      </c>
      <c r="I57" s="43">
        <f>1.05*D56</f>
        <v>33.547499999999999</v>
      </c>
      <c r="J57" s="132"/>
      <c r="K57" s="40">
        <f t="shared" si="6"/>
        <v>0</v>
      </c>
      <c r="L57" s="2"/>
    </row>
    <row r="58" spans="1:12" ht="14">
      <c r="A58" s="8"/>
      <c r="B58" s="3"/>
      <c r="C58" s="21"/>
      <c r="D58" s="21"/>
      <c r="E58" s="178"/>
      <c r="F58" s="22"/>
      <c r="G58" s="166" t="s">
        <v>194</v>
      </c>
      <c r="H58" s="70" t="s">
        <v>51</v>
      </c>
      <c r="I58" s="41">
        <v>12</v>
      </c>
      <c r="J58" s="44"/>
      <c r="K58" s="40">
        <f>J58*I58</f>
        <v>0</v>
      </c>
      <c r="L58" s="2"/>
    </row>
    <row r="59" spans="1:12">
      <c r="A59" s="8"/>
      <c r="B59" s="3"/>
      <c r="C59" s="21"/>
      <c r="D59" s="21"/>
      <c r="E59" s="178"/>
      <c r="F59" s="22"/>
      <c r="G59" s="166"/>
      <c r="H59" s="70"/>
      <c r="I59" s="41"/>
      <c r="J59" s="44"/>
      <c r="K59" s="40"/>
      <c r="L59" s="2"/>
    </row>
    <row r="60" spans="1:12" ht="28">
      <c r="A60" s="8">
        <v>49</v>
      </c>
      <c r="B60" s="3" t="s">
        <v>195</v>
      </c>
      <c r="C60" s="21" t="s">
        <v>41</v>
      </c>
      <c r="D60" s="21">
        <v>10.08</v>
      </c>
      <c r="E60" s="178"/>
      <c r="F60" s="22">
        <f>E60*D60</f>
        <v>0</v>
      </c>
      <c r="G60" s="166" t="s">
        <v>196</v>
      </c>
      <c r="H60" s="70" t="s">
        <v>48</v>
      </c>
      <c r="I60" s="41">
        <v>23</v>
      </c>
      <c r="J60" s="44"/>
      <c r="K60" s="40">
        <f>J60*I60</f>
        <v>0</v>
      </c>
      <c r="L60" s="2"/>
    </row>
    <row r="61" spans="1:12" ht="14">
      <c r="A61" s="8"/>
      <c r="B61" s="3"/>
      <c r="C61" s="21"/>
      <c r="D61" s="21"/>
      <c r="E61" s="178"/>
      <c r="F61" s="22"/>
      <c r="G61" s="258" t="s">
        <v>116</v>
      </c>
      <c r="H61" s="259" t="s">
        <v>117</v>
      </c>
      <c r="I61" s="40">
        <f>0.2*D60</f>
        <v>2.016</v>
      </c>
      <c r="J61" s="127"/>
      <c r="K61" s="40">
        <f t="shared" ref="K61:K67" si="7">J61*I61</f>
        <v>0</v>
      </c>
      <c r="L61" s="2"/>
    </row>
    <row r="62" spans="1:12" ht="14">
      <c r="A62" s="8"/>
      <c r="B62" s="3"/>
      <c r="C62" s="21"/>
      <c r="D62" s="21"/>
      <c r="E62" s="178"/>
      <c r="F62" s="22"/>
      <c r="G62" s="166" t="s">
        <v>197</v>
      </c>
      <c r="H62" s="70" t="s">
        <v>48</v>
      </c>
      <c r="I62" s="41">
        <v>1</v>
      </c>
      <c r="J62" s="44"/>
      <c r="K62" s="40">
        <f t="shared" si="7"/>
        <v>0</v>
      </c>
      <c r="L62" s="2"/>
    </row>
    <row r="63" spans="1:12" ht="14">
      <c r="A63" s="8"/>
      <c r="B63" s="3"/>
      <c r="C63" s="21"/>
      <c r="D63" s="21"/>
      <c r="E63" s="178"/>
      <c r="F63" s="22"/>
      <c r="G63" s="166" t="s">
        <v>198</v>
      </c>
      <c r="H63" s="70" t="s">
        <v>199</v>
      </c>
      <c r="I63" s="41">
        <v>2</v>
      </c>
      <c r="J63" s="44"/>
      <c r="K63" s="40">
        <f t="shared" si="7"/>
        <v>0</v>
      </c>
      <c r="L63" s="2"/>
    </row>
    <row r="64" spans="1:12" ht="14">
      <c r="A64" s="8"/>
      <c r="B64" s="3"/>
      <c r="C64" s="21"/>
      <c r="D64" s="21"/>
      <c r="E64" s="178"/>
      <c r="F64" s="22"/>
      <c r="G64" s="166" t="s">
        <v>200</v>
      </c>
      <c r="H64" s="70" t="s">
        <v>48</v>
      </c>
      <c r="I64" s="41">
        <v>1</v>
      </c>
      <c r="J64" s="44"/>
      <c r="K64" s="40">
        <f t="shared" si="7"/>
        <v>0</v>
      </c>
      <c r="L64" s="2"/>
    </row>
    <row r="65" spans="1:12">
      <c r="A65" s="8"/>
      <c r="B65" s="3"/>
      <c r="C65" s="21"/>
      <c r="D65" s="21"/>
      <c r="E65" s="178"/>
      <c r="F65" s="22"/>
      <c r="G65" s="166"/>
      <c r="H65" s="70"/>
      <c r="I65" s="41"/>
      <c r="J65" s="44"/>
      <c r="K65" s="40">
        <f t="shared" si="7"/>
        <v>0</v>
      </c>
      <c r="L65" s="2"/>
    </row>
    <row r="66" spans="1:12" ht="28">
      <c r="A66" s="8">
        <v>50</v>
      </c>
      <c r="B66" s="3" t="s">
        <v>201</v>
      </c>
      <c r="C66" s="21" t="s">
        <v>41</v>
      </c>
      <c r="D66" s="21">
        <v>3.07</v>
      </c>
      <c r="E66" s="178"/>
      <c r="F66" s="22">
        <f>E66*D66</f>
        <v>0</v>
      </c>
      <c r="G66" s="106" t="s">
        <v>202</v>
      </c>
      <c r="H66" s="259" t="s">
        <v>117</v>
      </c>
      <c r="I66" s="40">
        <v>0.9</v>
      </c>
      <c r="J66" s="127"/>
      <c r="K66" s="40">
        <f t="shared" si="7"/>
        <v>0</v>
      </c>
      <c r="L66" s="2"/>
    </row>
    <row r="67" spans="1:12" ht="14">
      <c r="A67" s="8"/>
      <c r="B67" s="3"/>
      <c r="C67" s="21"/>
      <c r="D67" s="21"/>
      <c r="E67" s="178"/>
      <c r="F67" s="22"/>
      <c r="G67" s="258" t="s">
        <v>140</v>
      </c>
      <c r="H67" s="259" t="s">
        <v>48</v>
      </c>
      <c r="I67" s="142">
        <v>1</v>
      </c>
      <c r="J67" s="127"/>
      <c r="K67" s="40">
        <f t="shared" si="7"/>
        <v>0</v>
      </c>
      <c r="L67" s="2"/>
    </row>
    <row r="68" spans="1:12">
      <c r="A68" s="8"/>
      <c r="B68" s="3"/>
      <c r="C68" s="21"/>
      <c r="D68" s="21"/>
      <c r="E68" s="178"/>
      <c r="F68" s="22"/>
      <c r="G68" s="258"/>
      <c r="H68" s="259"/>
      <c r="I68" s="142"/>
      <c r="J68" s="127"/>
      <c r="K68" s="40"/>
      <c r="L68" s="2"/>
    </row>
    <row r="69" spans="1:12">
      <c r="A69" s="8"/>
      <c r="B69" s="3"/>
      <c r="C69" s="21"/>
      <c r="D69" s="21"/>
      <c r="E69" s="178"/>
      <c r="F69" s="22"/>
      <c r="G69" s="166"/>
      <c r="H69" s="70"/>
      <c r="I69" s="41"/>
      <c r="J69" s="44"/>
      <c r="K69" s="40"/>
      <c r="L69" s="2"/>
    </row>
    <row r="70" spans="1:12" ht="28">
      <c r="A70" s="8">
        <v>51</v>
      </c>
      <c r="B70" s="3" t="s">
        <v>203</v>
      </c>
      <c r="C70" s="21" t="s">
        <v>48</v>
      </c>
      <c r="D70" s="21">
        <v>10</v>
      </c>
      <c r="E70" s="178"/>
      <c r="F70" s="22">
        <f>E70*D70</f>
        <v>0</v>
      </c>
      <c r="G70" s="166" t="s">
        <v>204</v>
      </c>
      <c r="H70" s="259" t="s">
        <v>48</v>
      </c>
      <c r="I70" s="40">
        <v>10</v>
      </c>
      <c r="J70" s="127"/>
      <c r="K70" s="40">
        <f t="shared" ref="K70:K71" si="8">J70*I70</f>
        <v>0</v>
      </c>
      <c r="L70" s="2"/>
    </row>
    <row r="71" spans="1:12" ht="14">
      <c r="A71" s="8"/>
      <c r="B71" s="3"/>
      <c r="C71" s="21"/>
      <c r="D71" s="21"/>
      <c r="E71" s="178"/>
      <c r="F71" s="22"/>
      <c r="G71" s="258" t="s">
        <v>116</v>
      </c>
      <c r="H71" s="259" t="s">
        <v>117</v>
      </c>
      <c r="I71" s="40">
        <v>1.2</v>
      </c>
      <c r="J71" s="127"/>
      <c r="K71" s="40">
        <f t="shared" si="8"/>
        <v>0</v>
      </c>
      <c r="L71" s="2"/>
    </row>
    <row r="72" spans="1:12" ht="14">
      <c r="A72" s="8"/>
      <c r="B72" s="3"/>
      <c r="C72" s="21"/>
      <c r="D72" s="21"/>
      <c r="E72" s="178"/>
      <c r="F72" s="22"/>
      <c r="G72" s="166" t="s">
        <v>194</v>
      </c>
      <c r="H72" s="70" t="s">
        <v>51</v>
      </c>
      <c r="I72" s="41">
        <v>3</v>
      </c>
      <c r="J72" s="44"/>
      <c r="K72" s="40">
        <f>J72*I72</f>
        <v>0</v>
      </c>
      <c r="L72" s="2"/>
    </row>
    <row r="73" spans="1:12">
      <c r="A73" s="8"/>
      <c r="B73" s="3"/>
      <c r="C73" s="21"/>
      <c r="D73" s="21"/>
      <c r="E73" s="178"/>
      <c r="F73" s="22"/>
      <c r="G73" s="166"/>
      <c r="H73" s="70"/>
      <c r="I73" s="41"/>
      <c r="J73" s="44"/>
      <c r="K73" s="40"/>
      <c r="L73" s="2"/>
    </row>
    <row r="74" spans="1:12" ht="14">
      <c r="A74" s="8">
        <v>52</v>
      </c>
      <c r="B74" s="176" t="s">
        <v>205</v>
      </c>
      <c r="C74" s="177" t="s">
        <v>41</v>
      </c>
      <c r="D74" s="177">
        <v>53.53</v>
      </c>
      <c r="E74" s="178"/>
      <c r="F74" s="178">
        <f>E74*D74</f>
        <v>0</v>
      </c>
      <c r="G74" s="185" t="s">
        <v>206</v>
      </c>
      <c r="H74" s="180" t="s">
        <v>41</v>
      </c>
      <c r="I74" s="186">
        <v>53.54</v>
      </c>
      <c r="J74" s="132"/>
      <c r="K74" s="184">
        <f>J74*I74</f>
        <v>0</v>
      </c>
      <c r="L74" s="2"/>
    </row>
    <row r="75" spans="1:12" ht="28">
      <c r="A75" s="8"/>
      <c r="B75" s="3"/>
      <c r="C75" s="21"/>
      <c r="D75" s="21"/>
      <c r="E75" s="178"/>
      <c r="F75" s="22"/>
      <c r="G75" s="166" t="s">
        <v>207</v>
      </c>
      <c r="H75" s="70" t="s">
        <v>48</v>
      </c>
      <c r="I75" s="41">
        <v>1</v>
      </c>
      <c r="J75" s="132"/>
      <c r="K75" s="184">
        <f>J75*I75</f>
        <v>0</v>
      </c>
      <c r="L75" s="2"/>
    </row>
    <row r="76" spans="1:12">
      <c r="A76" s="8"/>
      <c r="B76" s="3"/>
      <c r="C76" s="21"/>
      <c r="D76" s="21"/>
      <c r="E76" s="178"/>
      <c r="F76" s="22"/>
      <c r="G76" s="166"/>
      <c r="H76" s="70"/>
      <c r="I76" s="41"/>
      <c r="J76" s="44"/>
      <c r="K76" s="40"/>
      <c r="L76" s="2"/>
    </row>
    <row r="77" spans="1:12" ht="56">
      <c r="A77" s="8">
        <v>53</v>
      </c>
      <c r="B77" s="3" t="s">
        <v>208</v>
      </c>
      <c r="C77" s="21" t="s">
        <v>48</v>
      </c>
      <c r="D77" s="21">
        <v>12</v>
      </c>
      <c r="E77" s="178"/>
      <c r="F77" s="22">
        <f>E77*D77</f>
        <v>0</v>
      </c>
      <c r="G77" s="166" t="s">
        <v>209</v>
      </c>
      <c r="H77" s="70" t="s">
        <v>48</v>
      </c>
      <c r="I77" s="41">
        <v>1</v>
      </c>
      <c r="J77" s="44"/>
      <c r="K77" s="40">
        <f>J77*I77</f>
        <v>0</v>
      </c>
      <c r="L77" s="2"/>
    </row>
    <row r="78" spans="1:12" ht="56">
      <c r="A78" s="8"/>
      <c r="B78" s="3"/>
      <c r="C78" s="21"/>
      <c r="D78" s="21"/>
      <c r="E78" s="178"/>
      <c r="F78" s="22"/>
      <c r="G78" s="166" t="s">
        <v>210</v>
      </c>
      <c r="H78" s="70" t="s">
        <v>48</v>
      </c>
      <c r="I78" s="41">
        <v>1</v>
      </c>
      <c r="J78" s="44"/>
      <c r="K78" s="40">
        <f t="shared" ref="K78:K87" si="9">J78*I78</f>
        <v>0</v>
      </c>
      <c r="L78" s="2"/>
    </row>
    <row r="79" spans="1:12" ht="56">
      <c r="A79" s="8"/>
      <c r="B79" s="3"/>
      <c r="C79" s="21"/>
      <c r="D79" s="21"/>
      <c r="E79" s="178"/>
      <c r="F79" s="22"/>
      <c r="G79" s="166" t="s">
        <v>211</v>
      </c>
      <c r="H79" s="70" t="s">
        <v>48</v>
      </c>
      <c r="I79" s="41">
        <v>2</v>
      </c>
      <c r="J79" s="44"/>
      <c r="K79" s="40">
        <f t="shared" si="9"/>
        <v>0</v>
      </c>
      <c r="L79" s="2"/>
    </row>
    <row r="80" spans="1:12" ht="56">
      <c r="A80" s="8"/>
      <c r="B80" s="3"/>
      <c r="C80" s="21"/>
      <c r="D80" s="21"/>
      <c r="E80" s="22"/>
      <c r="F80" s="22"/>
      <c r="G80" s="166" t="s">
        <v>212</v>
      </c>
      <c r="H80" s="70" t="s">
        <v>48</v>
      </c>
      <c r="I80" s="41">
        <v>2</v>
      </c>
      <c r="J80" s="44"/>
      <c r="K80" s="40">
        <f t="shared" si="9"/>
        <v>0</v>
      </c>
      <c r="L80" s="2"/>
    </row>
    <row r="81" spans="1:12" ht="56">
      <c r="A81" s="8"/>
      <c r="B81" s="3"/>
      <c r="C81" s="21"/>
      <c r="D81" s="21"/>
      <c r="E81" s="22"/>
      <c r="F81" s="22"/>
      <c r="G81" s="166" t="s">
        <v>213</v>
      </c>
      <c r="H81" s="70" t="s">
        <v>48</v>
      </c>
      <c r="I81" s="41">
        <v>1</v>
      </c>
      <c r="J81" s="44"/>
      <c r="K81" s="40">
        <f t="shared" si="9"/>
        <v>0</v>
      </c>
      <c r="L81" s="2"/>
    </row>
    <row r="82" spans="1:12" ht="56">
      <c r="A82" s="8"/>
      <c r="B82" s="3"/>
      <c r="C82" s="21"/>
      <c r="D82" s="21"/>
      <c r="E82" s="22"/>
      <c r="F82" s="22"/>
      <c r="G82" s="166" t="s">
        <v>214</v>
      </c>
      <c r="H82" s="70" t="s">
        <v>48</v>
      </c>
      <c r="I82" s="41">
        <v>1</v>
      </c>
      <c r="J82" s="44"/>
      <c r="K82" s="40">
        <f t="shared" si="9"/>
        <v>0</v>
      </c>
      <c r="L82" s="2"/>
    </row>
    <row r="83" spans="1:12" ht="56">
      <c r="A83" s="8"/>
      <c r="B83" s="3"/>
      <c r="C83" s="21"/>
      <c r="D83" s="21"/>
      <c r="E83" s="22"/>
      <c r="F83" s="22"/>
      <c r="G83" s="166" t="s">
        <v>215</v>
      </c>
      <c r="H83" s="70" t="s">
        <v>48</v>
      </c>
      <c r="I83" s="41">
        <v>2</v>
      </c>
      <c r="J83" s="44"/>
      <c r="K83" s="40">
        <f t="shared" si="9"/>
        <v>0</v>
      </c>
      <c r="L83" s="2"/>
    </row>
    <row r="84" spans="1:12" ht="56">
      <c r="A84" s="8"/>
      <c r="B84" s="3"/>
      <c r="C84" s="21"/>
      <c r="D84" s="21"/>
      <c r="E84" s="22"/>
      <c r="F84" s="22"/>
      <c r="G84" s="166" t="s">
        <v>216</v>
      </c>
      <c r="H84" s="70" t="s">
        <v>48</v>
      </c>
      <c r="I84" s="41">
        <v>1</v>
      </c>
      <c r="J84" s="44"/>
      <c r="K84" s="40">
        <f t="shared" si="9"/>
        <v>0</v>
      </c>
      <c r="L84" s="2"/>
    </row>
    <row r="85" spans="1:12" ht="42">
      <c r="A85" s="8"/>
      <c r="B85" s="3"/>
      <c r="C85" s="21"/>
      <c r="D85" s="21"/>
      <c r="E85" s="22"/>
      <c r="F85" s="22"/>
      <c r="G85" s="166" t="s">
        <v>217</v>
      </c>
      <c r="H85" s="70" t="s">
        <v>48</v>
      </c>
      <c r="I85" s="41">
        <v>1</v>
      </c>
      <c r="J85" s="44"/>
      <c r="K85" s="40">
        <f t="shared" si="9"/>
        <v>0</v>
      </c>
      <c r="L85" s="2"/>
    </row>
    <row r="86" spans="1:12" ht="84">
      <c r="A86" s="8"/>
      <c r="B86" s="3"/>
      <c r="C86" s="21"/>
      <c r="D86" s="21"/>
      <c r="E86" s="22"/>
      <c r="F86" s="22"/>
      <c r="G86" s="166" t="s">
        <v>218</v>
      </c>
      <c r="H86" s="70" t="s">
        <v>48</v>
      </c>
      <c r="I86" s="41">
        <v>1</v>
      </c>
      <c r="J86" s="44"/>
      <c r="K86" s="40">
        <f t="shared" si="9"/>
        <v>0</v>
      </c>
      <c r="L86" s="2"/>
    </row>
    <row r="87" spans="1:12" ht="42">
      <c r="A87" s="8">
        <v>54</v>
      </c>
      <c r="B87" s="176" t="s">
        <v>219</v>
      </c>
      <c r="C87" s="177" t="s">
        <v>161</v>
      </c>
      <c r="D87" s="177">
        <v>1</v>
      </c>
      <c r="E87" s="178"/>
      <c r="F87" s="22">
        <f>E87*D87</f>
        <v>0</v>
      </c>
      <c r="G87" s="185" t="s">
        <v>220</v>
      </c>
      <c r="H87" s="180" t="s">
        <v>161</v>
      </c>
      <c r="I87" s="186">
        <v>1</v>
      </c>
      <c r="J87" s="132"/>
      <c r="K87" s="40">
        <f t="shared" si="9"/>
        <v>0</v>
      </c>
      <c r="L87" s="2"/>
    </row>
    <row r="89" spans="1:12">
      <c r="E89" t="s">
        <v>150</v>
      </c>
      <c r="F89" s="253">
        <f>SUM(F3:F87)</f>
        <v>0</v>
      </c>
      <c r="J89" t="s">
        <v>151</v>
      </c>
      <c r="K89" s="253">
        <f>SUM(K3:K87)</f>
        <v>0</v>
      </c>
    </row>
  </sheetData>
  <sheetProtection algorithmName="SHA-512" hashValue="m4oVeD+BCHkYyQUjfH1Wvx/udthMd5l32yeblZfrtwfYx126Jf3KCbGuvIpUEnST5OBX6DBGMI+TpWm4WGbfbw==" saltValue="/fl3es9k+JtAUETwz/NqGA==" spinCount="100000" sheet="1" objects="1" scenarios="1"/>
  <protectedRanges>
    <protectedRange sqref="J3:J87" name="Materials"/>
    <protectedRange sqref="E3:E87" name="Works"/>
  </protectedRanges>
  <mergeCells count="7">
    <mergeCell ref="L1:L2"/>
    <mergeCell ref="A1:A2"/>
    <mergeCell ref="B1:B2"/>
    <mergeCell ref="C1:C2"/>
    <mergeCell ref="D1:D2"/>
    <mergeCell ref="E1:F1"/>
    <mergeCell ref="G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99"/>
  <sheetViews>
    <sheetView workbookViewId="0">
      <selection activeCell="G9" sqref="G9"/>
    </sheetView>
  </sheetViews>
  <sheetFormatPr baseColWidth="10" defaultColWidth="8.83203125" defaultRowHeight="13"/>
  <cols>
    <col min="2" max="2" width="23.6640625" customWidth="1"/>
    <col min="6" max="6" width="16.83203125" customWidth="1"/>
    <col min="7" max="7" width="28.33203125" customWidth="1"/>
    <col min="11" max="11" width="14.33203125" customWidth="1"/>
  </cols>
  <sheetData>
    <row r="1" spans="1:12">
      <c r="A1" s="285" t="s">
        <v>24</v>
      </c>
      <c r="B1" s="287" t="s">
        <v>25</v>
      </c>
      <c r="C1" s="288" t="s">
        <v>26</v>
      </c>
      <c r="D1" s="288" t="s">
        <v>27</v>
      </c>
      <c r="E1" s="289" t="s">
        <v>28</v>
      </c>
      <c r="F1" s="289"/>
      <c r="G1" s="290" t="s">
        <v>29</v>
      </c>
      <c r="H1" s="290"/>
      <c r="I1" s="290"/>
      <c r="J1" s="290"/>
      <c r="K1" s="290"/>
      <c r="L1" s="284" t="s">
        <v>30</v>
      </c>
    </row>
    <row r="2" spans="1:12" ht="28">
      <c r="A2" s="286"/>
      <c r="B2" s="287"/>
      <c r="C2" s="288"/>
      <c r="D2" s="288"/>
      <c r="E2" s="40" t="s">
        <v>31</v>
      </c>
      <c r="F2" s="40" t="s">
        <v>32</v>
      </c>
      <c r="G2" s="258" t="s">
        <v>33</v>
      </c>
      <c r="H2" s="259" t="s">
        <v>26</v>
      </c>
      <c r="I2" s="259" t="s">
        <v>27</v>
      </c>
      <c r="J2" s="40" t="s">
        <v>31</v>
      </c>
      <c r="K2" s="40" t="s">
        <v>32</v>
      </c>
      <c r="L2" s="284"/>
    </row>
    <row r="3" spans="1:12" ht="14">
      <c r="A3" s="8"/>
      <c r="B3" s="18" t="s">
        <v>7</v>
      </c>
      <c r="C3" s="21"/>
      <c r="D3" s="21"/>
      <c r="E3" s="22"/>
      <c r="F3" s="22"/>
      <c r="G3" s="161"/>
      <c r="H3" s="25"/>
      <c r="I3" s="40"/>
      <c r="J3" s="127"/>
      <c r="K3" s="40"/>
      <c r="L3" s="2"/>
    </row>
    <row r="4" spans="1:12" ht="28">
      <c r="A4" s="8">
        <v>55</v>
      </c>
      <c r="B4" s="176" t="s">
        <v>221</v>
      </c>
      <c r="C4" s="177" t="s">
        <v>41</v>
      </c>
      <c r="D4" s="177">
        <v>4.22</v>
      </c>
      <c r="E4" s="178"/>
      <c r="F4" s="178">
        <f>E4*D4</f>
        <v>0</v>
      </c>
      <c r="G4" s="183" t="s">
        <v>222</v>
      </c>
      <c r="H4" s="178" t="s">
        <v>41</v>
      </c>
      <c r="I4" s="184">
        <v>4.22</v>
      </c>
      <c r="J4" s="182"/>
      <c r="K4" s="184">
        <f>J4*I4</f>
        <v>0</v>
      </c>
      <c r="L4" s="2"/>
    </row>
    <row r="5" spans="1:12">
      <c r="A5" s="8"/>
      <c r="B5" s="3"/>
      <c r="C5" s="21"/>
      <c r="D5" s="21"/>
      <c r="E5" s="22"/>
      <c r="F5" s="22"/>
      <c r="G5" s="162"/>
      <c r="H5" s="25"/>
      <c r="I5" s="40"/>
      <c r="J5" s="127"/>
      <c r="K5" s="40"/>
      <c r="L5" s="2"/>
    </row>
    <row r="6" spans="1:12" ht="70">
      <c r="A6" s="8">
        <v>56</v>
      </c>
      <c r="B6" s="106" t="s">
        <v>223</v>
      </c>
      <c r="C6" s="27" t="s">
        <v>41</v>
      </c>
      <c r="D6" s="70">
        <v>16.920000000000002</v>
      </c>
      <c r="E6" s="22"/>
      <c r="F6" s="22">
        <f>E6*D6</f>
        <v>0</v>
      </c>
      <c r="G6" s="106" t="s">
        <v>82</v>
      </c>
      <c r="H6" s="27" t="s">
        <v>41</v>
      </c>
      <c r="I6" s="40">
        <f>1.1*D6</f>
        <v>18.612000000000002</v>
      </c>
      <c r="J6" s="126"/>
      <c r="K6" s="40">
        <f t="shared" ref="K6:K12" si="0">J6*I6</f>
        <v>0</v>
      </c>
      <c r="L6" s="2"/>
    </row>
    <row r="7" spans="1:12" ht="14">
      <c r="A7" s="8"/>
      <c r="B7" s="3"/>
      <c r="C7" s="62"/>
      <c r="D7" s="22"/>
      <c r="E7" s="22"/>
      <c r="F7" s="22"/>
      <c r="G7" s="106" t="s">
        <v>112</v>
      </c>
      <c r="H7" s="70" t="s">
        <v>74</v>
      </c>
      <c r="I7" s="40">
        <v>33</v>
      </c>
      <c r="J7" s="126"/>
      <c r="K7" s="40">
        <f t="shared" si="0"/>
        <v>0</v>
      </c>
      <c r="L7" s="2"/>
    </row>
    <row r="8" spans="1:12" ht="14">
      <c r="A8" s="8"/>
      <c r="B8" s="3"/>
      <c r="C8" s="62"/>
      <c r="D8" s="22"/>
      <c r="E8" s="22"/>
      <c r="F8" s="22"/>
      <c r="G8" s="106" t="s">
        <v>113</v>
      </c>
      <c r="H8" s="70" t="s">
        <v>74</v>
      </c>
      <c r="I8" s="40">
        <f>2.55*D6+0.9*D6*0.8</f>
        <v>55.328400000000002</v>
      </c>
      <c r="J8" s="126"/>
      <c r="K8" s="40">
        <f t="shared" si="0"/>
        <v>0</v>
      </c>
      <c r="L8" s="2"/>
    </row>
    <row r="9" spans="1:12" ht="14">
      <c r="A9" s="8"/>
      <c r="B9" s="3"/>
      <c r="C9" s="62"/>
      <c r="D9" s="22"/>
      <c r="E9" s="22"/>
      <c r="F9" s="22"/>
      <c r="G9" s="106" t="s">
        <v>76</v>
      </c>
      <c r="H9" s="77" t="s">
        <v>122</v>
      </c>
      <c r="I9" s="42">
        <f>1.9*D6+24*2</f>
        <v>80.147999999999996</v>
      </c>
      <c r="J9" s="127"/>
      <c r="K9" s="40">
        <f t="shared" si="0"/>
        <v>0</v>
      </c>
      <c r="L9" s="2"/>
    </row>
    <row r="10" spans="1:12" ht="14">
      <c r="A10" s="8"/>
      <c r="B10" s="3"/>
      <c r="C10" s="62"/>
      <c r="D10" s="22"/>
      <c r="E10" s="22"/>
      <c r="F10" s="22"/>
      <c r="G10" s="166" t="s">
        <v>96</v>
      </c>
      <c r="H10" s="77" t="s">
        <v>122</v>
      </c>
      <c r="I10" s="42">
        <f>22*D6</f>
        <v>372.24</v>
      </c>
      <c r="J10" s="44"/>
      <c r="K10" s="40">
        <f t="shared" si="0"/>
        <v>0</v>
      </c>
      <c r="L10" s="2"/>
    </row>
    <row r="11" spans="1:12" ht="14">
      <c r="A11" s="8"/>
      <c r="B11" s="3"/>
      <c r="C11" s="62"/>
      <c r="D11" s="22"/>
      <c r="E11" s="22"/>
      <c r="F11" s="22"/>
      <c r="G11" s="106" t="s">
        <v>77</v>
      </c>
      <c r="H11" s="77" t="s">
        <v>122</v>
      </c>
      <c r="I11" s="42">
        <f>16*D6</f>
        <v>270.72000000000003</v>
      </c>
      <c r="J11" s="126"/>
      <c r="K11" s="40">
        <f t="shared" si="0"/>
        <v>0</v>
      </c>
      <c r="L11" s="2"/>
    </row>
    <row r="12" spans="1:12" ht="28">
      <c r="A12" s="8"/>
      <c r="B12" s="3"/>
      <c r="C12" s="62"/>
      <c r="D12" s="22"/>
      <c r="E12" s="22"/>
      <c r="F12" s="22"/>
      <c r="G12" s="106" t="s">
        <v>109</v>
      </c>
      <c r="H12" s="70" t="s">
        <v>74</v>
      </c>
      <c r="I12" s="40">
        <v>33</v>
      </c>
      <c r="J12" s="38"/>
      <c r="K12" s="40">
        <f t="shared" si="0"/>
        <v>0</v>
      </c>
      <c r="L12" s="2"/>
    </row>
    <row r="13" spans="1:12" ht="14">
      <c r="A13" s="8"/>
      <c r="B13" s="3"/>
      <c r="C13" s="62"/>
      <c r="D13" s="22"/>
      <c r="E13" s="22"/>
      <c r="F13" s="22"/>
      <c r="G13" s="106" t="s">
        <v>110</v>
      </c>
      <c r="H13" s="70" t="s">
        <v>48</v>
      </c>
      <c r="I13" s="40">
        <v>24</v>
      </c>
      <c r="J13" s="38"/>
      <c r="K13" s="40">
        <f>J13*I13</f>
        <v>0</v>
      </c>
      <c r="L13" s="2"/>
    </row>
    <row r="14" spans="1:12">
      <c r="A14" s="8"/>
      <c r="B14" s="3"/>
      <c r="C14" s="21"/>
      <c r="D14" s="21"/>
      <c r="E14" s="22"/>
      <c r="F14" s="22"/>
      <c r="G14" s="161"/>
      <c r="H14" s="25"/>
      <c r="I14" s="40"/>
      <c r="J14" s="127"/>
      <c r="K14" s="40"/>
      <c r="L14" s="2"/>
    </row>
    <row r="15" spans="1:12" ht="56">
      <c r="A15" s="8">
        <v>57</v>
      </c>
      <c r="B15" s="106" t="s">
        <v>224</v>
      </c>
      <c r="C15" s="27" t="s">
        <v>41</v>
      </c>
      <c r="D15" s="70">
        <v>36.03</v>
      </c>
      <c r="E15" s="22"/>
      <c r="F15" s="22">
        <f>E15*D15</f>
        <v>0</v>
      </c>
      <c r="G15" s="106" t="s">
        <v>72</v>
      </c>
      <c r="H15" s="27" t="s">
        <v>41</v>
      </c>
      <c r="I15" s="40">
        <f>1.1*(D15)</f>
        <v>39.633000000000003</v>
      </c>
      <c r="J15" s="126"/>
      <c r="K15" s="40">
        <f t="shared" ref="K15:K21" si="1">J15*I15</f>
        <v>0</v>
      </c>
      <c r="L15" s="2"/>
    </row>
    <row r="16" spans="1:12" ht="14">
      <c r="A16" s="8"/>
      <c r="B16" s="3"/>
      <c r="C16" s="62"/>
      <c r="D16" s="22"/>
      <c r="E16" s="22"/>
      <c r="F16" s="22"/>
      <c r="G16" s="106" t="s">
        <v>112</v>
      </c>
      <c r="H16" s="70" t="s">
        <v>74</v>
      </c>
      <c r="I16" s="40">
        <v>36</v>
      </c>
      <c r="J16" s="126"/>
      <c r="K16" s="40">
        <f t="shared" si="1"/>
        <v>0</v>
      </c>
      <c r="L16" s="2"/>
    </row>
    <row r="17" spans="1:12" ht="14">
      <c r="A17" s="8"/>
      <c r="B17" s="3"/>
      <c r="C17" s="62"/>
      <c r="D17" s="22"/>
      <c r="E17" s="22"/>
      <c r="F17" s="22"/>
      <c r="G17" s="106" t="s">
        <v>113</v>
      </c>
      <c r="H17" s="70" t="s">
        <v>74</v>
      </c>
      <c r="I17" s="40">
        <f>2.55*D15+0.9*D15*0.8</f>
        <v>117.81809999999999</v>
      </c>
      <c r="J17" s="126"/>
      <c r="K17" s="40">
        <f t="shared" si="1"/>
        <v>0</v>
      </c>
      <c r="L17" s="2"/>
    </row>
    <row r="18" spans="1:12" ht="14">
      <c r="A18" s="8"/>
      <c r="B18" s="3"/>
      <c r="C18" s="62"/>
      <c r="D18" s="22"/>
      <c r="E18" s="22"/>
      <c r="F18" s="22"/>
      <c r="G18" s="106" t="s">
        <v>76</v>
      </c>
      <c r="H18" s="77" t="s">
        <v>122</v>
      </c>
      <c r="I18" s="42">
        <f>I16*3+66</f>
        <v>174</v>
      </c>
      <c r="J18" s="127"/>
      <c r="K18" s="40">
        <f t="shared" si="1"/>
        <v>0</v>
      </c>
      <c r="L18" s="2"/>
    </row>
    <row r="19" spans="1:12" ht="14">
      <c r="A19" s="8"/>
      <c r="B19" s="3"/>
      <c r="C19" s="62"/>
      <c r="D19" s="22"/>
      <c r="E19" s="22"/>
      <c r="F19" s="22"/>
      <c r="G19" s="166" t="s">
        <v>96</v>
      </c>
      <c r="H19" s="77" t="s">
        <v>122</v>
      </c>
      <c r="I19" s="42">
        <f>22*D15</f>
        <v>792.66000000000008</v>
      </c>
      <c r="J19" s="44"/>
      <c r="K19" s="40">
        <f t="shared" si="1"/>
        <v>0</v>
      </c>
      <c r="L19" s="2"/>
    </row>
    <row r="20" spans="1:12" ht="14">
      <c r="A20" s="8"/>
      <c r="B20" s="3"/>
      <c r="C20" s="62"/>
      <c r="D20" s="22"/>
      <c r="E20" s="22"/>
      <c r="F20" s="22"/>
      <c r="G20" s="106" t="s">
        <v>77</v>
      </c>
      <c r="H20" s="77" t="s">
        <v>122</v>
      </c>
      <c r="I20" s="42">
        <f>16*D15</f>
        <v>576.48</v>
      </c>
      <c r="J20" s="126"/>
      <c r="K20" s="40">
        <f t="shared" si="1"/>
        <v>0</v>
      </c>
      <c r="L20" s="2"/>
    </row>
    <row r="21" spans="1:12" ht="28">
      <c r="A21" s="8"/>
      <c r="B21" s="3"/>
      <c r="C21" s="62"/>
      <c r="D21" s="22"/>
      <c r="E21" s="22"/>
      <c r="F21" s="22"/>
      <c r="G21" s="106" t="s">
        <v>109</v>
      </c>
      <c r="H21" s="70" t="s">
        <v>74</v>
      </c>
      <c r="I21" s="40">
        <v>35</v>
      </c>
      <c r="J21" s="38"/>
      <c r="K21" s="40">
        <f t="shared" si="1"/>
        <v>0</v>
      </c>
      <c r="L21" s="2"/>
    </row>
    <row r="22" spans="1:12" ht="14">
      <c r="A22" s="8"/>
      <c r="B22" s="3"/>
      <c r="C22" s="62"/>
      <c r="D22" s="22"/>
      <c r="E22" s="22"/>
      <c r="F22" s="22"/>
      <c r="G22" s="106" t="s">
        <v>110</v>
      </c>
      <c r="H22" s="70" t="s">
        <v>48</v>
      </c>
      <c r="I22" s="40">
        <v>33</v>
      </c>
      <c r="J22" s="38"/>
      <c r="K22" s="40">
        <f>J22*I22</f>
        <v>0</v>
      </c>
      <c r="L22" s="2"/>
    </row>
    <row r="23" spans="1:12">
      <c r="A23" s="8"/>
      <c r="B23" s="3"/>
      <c r="C23" s="21"/>
      <c r="D23" s="21"/>
      <c r="E23" s="22"/>
      <c r="F23" s="22"/>
      <c r="G23" s="161"/>
      <c r="H23" s="25"/>
      <c r="I23" s="40"/>
      <c r="J23" s="127"/>
      <c r="K23" s="40"/>
      <c r="L23" s="2"/>
    </row>
    <row r="24" spans="1:12" ht="56">
      <c r="A24" s="8">
        <v>58</v>
      </c>
      <c r="B24" s="106" t="s">
        <v>225</v>
      </c>
      <c r="C24" s="27" t="s">
        <v>41</v>
      </c>
      <c r="D24" s="70">
        <v>11.33</v>
      </c>
      <c r="E24" s="22"/>
      <c r="F24" s="22">
        <f>E24*D24</f>
        <v>0</v>
      </c>
      <c r="G24" s="106" t="s">
        <v>72</v>
      </c>
      <c r="H24" s="27" t="s">
        <v>41</v>
      </c>
      <c r="I24" s="40">
        <f>1.1*(D24)</f>
        <v>12.463000000000001</v>
      </c>
      <c r="J24" s="126"/>
      <c r="K24" s="40">
        <f t="shared" ref="K24:K30" si="2">J24*I24</f>
        <v>0</v>
      </c>
      <c r="L24" s="2"/>
    </row>
    <row r="25" spans="1:12" ht="14">
      <c r="A25" s="8"/>
      <c r="B25" s="3"/>
      <c r="C25" s="62"/>
      <c r="D25" s="22"/>
      <c r="E25" s="22"/>
      <c r="F25" s="22"/>
      <c r="G25" s="106" t="s">
        <v>107</v>
      </c>
      <c r="H25" s="70" t="s">
        <v>74</v>
      </c>
      <c r="I25" s="40">
        <f>0.87*D24</f>
        <v>9.8571000000000009</v>
      </c>
      <c r="J25" s="126"/>
      <c r="K25" s="40">
        <f t="shared" si="2"/>
        <v>0</v>
      </c>
      <c r="L25" s="2"/>
    </row>
    <row r="26" spans="1:12" ht="14">
      <c r="A26" s="8"/>
      <c r="B26" s="3"/>
      <c r="C26" s="62"/>
      <c r="D26" s="22"/>
      <c r="E26" s="22"/>
      <c r="F26" s="22"/>
      <c r="G26" s="106" t="s">
        <v>108</v>
      </c>
      <c r="H26" s="70" t="s">
        <v>74</v>
      </c>
      <c r="I26" s="40">
        <f>2.55*D24*1.1+36*0.8</f>
        <v>60.580649999999999</v>
      </c>
      <c r="J26" s="126"/>
      <c r="K26" s="40">
        <f t="shared" si="2"/>
        <v>0</v>
      </c>
      <c r="L26" s="2"/>
    </row>
    <row r="27" spans="1:12" ht="14">
      <c r="A27" s="8"/>
      <c r="B27" s="3"/>
      <c r="C27" s="62"/>
      <c r="D27" s="22"/>
      <c r="E27" s="22"/>
      <c r="F27" s="22"/>
      <c r="G27" s="106" t="s">
        <v>76</v>
      </c>
      <c r="H27" s="77" t="s">
        <v>122</v>
      </c>
      <c r="I27" s="42">
        <f>1.9*D24</f>
        <v>21.526999999999997</v>
      </c>
      <c r="J27" s="127"/>
      <c r="K27" s="40">
        <f t="shared" si="2"/>
        <v>0</v>
      </c>
      <c r="L27" s="2"/>
    </row>
    <row r="28" spans="1:12" ht="14">
      <c r="A28" s="8"/>
      <c r="B28" s="3"/>
      <c r="C28" s="62"/>
      <c r="D28" s="22"/>
      <c r="E28" s="22"/>
      <c r="F28" s="22"/>
      <c r="G28" s="166" t="s">
        <v>96</v>
      </c>
      <c r="H28" s="77" t="s">
        <v>122</v>
      </c>
      <c r="I28" s="42">
        <f>22*D24</f>
        <v>249.26</v>
      </c>
      <c r="J28" s="44"/>
      <c r="K28" s="40">
        <f t="shared" si="2"/>
        <v>0</v>
      </c>
      <c r="L28" s="2"/>
    </row>
    <row r="29" spans="1:12" ht="14">
      <c r="A29" s="8"/>
      <c r="B29" s="3"/>
      <c r="C29" s="62"/>
      <c r="D29" s="22"/>
      <c r="E29" s="22"/>
      <c r="F29" s="22"/>
      <c r="G29" s="106" t="s">
        <v>77</v>
      </c>
      <c r="H29" s="77" t="s">
        <v>122</v>
      </c>
      <c r="I29" s="42">
        <f>16*D24</f>
        <v>181.28</v>
      </c>
      <c r="J29" s="126"/>
      <c r="K29" s="40">
        <f t="shared" si="2"/>
        <v>0</v>
      </c>
      <c r="L29" s="2"/>
    </row>
    <row r="30" spans="1:12" ht="28">
      <c r="A30" s="8"/>
      <c r="B30" s="3"/>
      <c r="C30" s="62"/>
      <c r="D30" s="22"/>
      <c r="E30" s="22"/>
      <c r="F30" s="22"/>
      <c r="G30" s="106" t="s">
        <v>109</v>
      </c>
      <c r="H30" s="70" t="s">
        <v>74</v>
      </c>
      <c r="I30" s="40">
        <v>10</v>
      </c>
      <c r="J30" s="38"/>
      <c r="K30" s="40">
        <f t="shared" si="2"/>
        <v>0</v>
      </c>
      <c r="L30" s="2"/>
    </row>
    <row r="31" spans="1:12">
      <c r="A31" s="8"/>
      <c r="B31" s="3"/>
      <c r="C31" s="21"/>
      <c r="D31" s="21"/>
      <c r="E31" s="22"/>
      <c r="F31" s="22"/>
      <c r="G31" s="161"/>
      <c r="H31" s="25"/>
      <c r="I31" s="40"/>
      <c r="J31" s="127"/>
      <c r="K31" s="40"/>
      <c r="L31" s="2"/>
    </row>
    <row r="32" spans="1:12" ht="14">
      <c r="A32" s="8">
        <v>59</v>
      </c>
      <c r="B32" s="3" t="s">
        <v>124</v>
      </c>
      <c r="C32" s="21" t="s">
        <v>74</v>
      </c>
      <c r="D32" s="4">
        <f>(D6+D15+D24)*0.99</f>
        <v>63.6372</v>
      </c>
      <c r="E32" s="22"/>
      <c r="F32" s="22">
        <f>E32*D32</f>
        <v>0</v>
      </c>
      <c r="G32" s="258" t="s">
        <v>125</v>
      </c>
      <c r="H32" s="259" t="s">
        <v>74</v>
      </c>
      <c r="I32" s="40">
        <f>D32*1.01</f>
        <v>64.273572000000001</v>
      </c>
      <c r="J32" s="127"/>
      <c r="K32" s="40">
        <f>J32*I32</f>
        <v>0</v>
      </c>
      <c r="L32" s="2"/>
    </row>
    <row r="33" spans="1:12" ht="14">
      <c r="A33" s="8"/>
      <c r="B33" s="3"/>
      <c r="C33" s="21"/>
      <c r="D33" s="4"/>
      <c r="E33" s="22"/>
      <c r="F33" s="22"/>
      <c r="G33" s="258" t="s">
        <v>126</v>
      </c>
      <c r="H33" s="259" t="s">
        <v>51</v>
      </c>
      <c r="I33" s="40">
        <f>0.4*65</f>
        <v>26</v>
      </c>
      <c r="J33" s="127"/>
      <c r="K33" s="40">
        <f>J33*I33</f>
        <v>0</v>
      </c>
      <c r="L33" s="2"/>
    </row>
    <row r="34" spans="1:12" ht="56">
      <c r="A34" s="8">
        <v>60</v>
      </c>
      <c r="B34" s="3" t="s">
        <v>226</v>
      </c>
      <c r="C34" s="62" t="s">
        <v>41</v>
      </c>
      <c r="D34" s="22">
        <f>D24+D15+D6</f>
        <v>64.28</v>
      </c>
      <c r="E34" s="22"/>
      <c r="F34" s="22">
        <f>E34*D34</f>
        <v>0</v>
      </c>
      <c r="G34" s="258" t="s">
        <v>128</v>
      </c>
      <c r="H34" s="259" t="s">
        <v>51</v>
      </c>
      <c r="I34" s="40">
        <f>2.2*D34</f>
        <v>141.41600000000003</v>
      </c>
      <c r="J34" s="127"/>
      <c r="K34" s="40">
        <f t="shared" ref="K34:K47" si="3">J34*I34</f>
        <v>0</v>
      </c>
      <c r="L34" s="2"/>
    </row>
    <row r="35" spans="1:12" ht="28">
      <c r="A35" s="8"/>
      <c r="B35" s="3"/>
      <c r="C35" s="62"/>
      <c r="D35" s="22"/>
      <c r="E35" s="22"/>
      <c r="F35" s="22"/>
      <c r="G35" s="258" t="s">
        <v>116</v>
      </c>
      <c r="H35" s="259" t="s">
        <v>117</v>
      </c>
      <c r="I35" s="40">
        <f>0.2*D34*2</f>
        <v>25.712000000000003</v>
      </c>
      <c r="J35" s="127"/>
      <c r="K35" s="40">
        <f t="shared" si="3"/>
        <v>0</v>
      </c>
      <c r="L35" s="2"/>
    </row>
    <row r="36" spans="1:12" ht="14">
      <c r="A36" s="8"/>
      <c r="B36" s="106"/>
      <c r="C36" s="70"/>
      <c r="D36" s="22"/>
      <c r="E36" s="22"/>
      <c r="F36" s="22"/>
      <c r="G36" s="12" t="s">
        <v>129</v>
      </c>
      <c r="H36" s="143" t="s">
        <v>51</v>
      </c>
      <c r="I36" s="4">
        <f>0.35*D34</f>
        <v>22.497999999999998</v>
      </c>
      <c r="J36" s="38"/>
      <c r="K36" s="40">
        <f t="shared" si="3"/>
        <v>0</v>
      </c>
      <c r="L36" s="2"/>
    </row>
    <row r="37" spans="1:12" ht="14">
      <c r="A37" s="8"/>
      <c r="B37" s="3"/>
      <c r="C37" s="62"/>
      <c r="D37" s="22"/>
      <c r="E37" s="22"/>
      <c r="F37" s="22"/>
      <c r="G37" s="111" t="s">
        <v>227</v>
      </c>
      <c r="H37" s="126" t="s">
        <v>41</v>
      </c>
      <c r="I37" s="4">
        <f>1.1*D34</f>
        <v>70.708000000000013</v>
      </c>
      <c r="J37" s="38"/>
      <c r="K37" s="40">
        <f t="shared" si="3"/>
        <v>0</v>
      </c>
      <c r="L37" s="2"/>
    </row>
    <row r="38" spans="1:12" ht="14">
      <c r="A38" s="8"/>
      <c r="B38" s="3"/>
      <c r="C38" s="62"/>
      <c r="D38" s="22"/>
      <c r="E38" s="22"/>
      <c r="F38" s="22"/>
      <c r="G38" s="167" t="s">
        <v>131</v>
      </c>
      <c r="H38" s="259" t="s">
        <v>51</v>
      </c>
      <c r="I38" s="40">
        <f>0.9*D34</f>
        <v>57.852000000000004</v>
      </c>
      <c r="J38" s="4"/>
      <c r="K38" s="40">
        <f t="shared" si="3"/>
        <v>0</v>
      </c>
      <c r="L38" s="2"/>
    </row>
    <row r="39" spans="1:12" ht="14">
      <c r="A39" s="8"/>
      <c r="B39" s="3"/>
      <c r="C39" s="62"/>
      <c r="D39" s="22"/>
      <c r="E39" s="22"/>
      <c r="F39" s="22"/>
      <c r="G39" s="181" t="s">
        <v>132</v>
      </c>
      <c r="H39" s="177" t="s">
        <v>41</v>
      </c>
      <c r="I39" s="182">
        <v>1.5</v>
      </c>
      <c r="J39" s="127"/>
      <c r="K39" s="40">
        <f t="shared" si="3"/>
        <v>0</v>
      </c>
      <c r="L39" s="2"/>
    </row>
    <row r="40" spans="1:12">
      <c r="A40" s="8"/>
      <c r="B40" s="3"/>
      <c r="C40" s="62"/>
      <c r="D40" s="22"/>
      <c r="E40" s="22"/>
      <c r="F40" s="22"/>
      <c r="G40" s="13"/>
      <c r="H40" s="21"/>
      <c r="I40" s="4"/>
      <c r="J40" s="127"/>
      <c r="K40" s="40"/>
      <c r="L40" s="2"/>
    </row>
    <row r="41" spans="1:12" ht="28">
      <c r="A41" s="8">
        <v>61</v>
      </c>
      <c r="B41" s="3" t="s">
        <v>133</v>
      </c>
      <c r="C41" s="62" t="s">
        <v>74</v>
      </c>
      <c r="D41" s="22">
        <f>5.62+21.7</f>
        <v>27.32</v>
      </c>
      <c r="E41" s="22"/>
      <c r="F41" s="22">
        <f>E41*D41</f>
        <v>0</v>
      </c>
      <c r="G41" s="13" t="s">
        <v>134</v>
      </c>
      <c r="H41" s="21" t="s">
        <v>74</v>
      </c>
      <c r="I41" s="4">
        <v>30</v>
      </c>
      <c r="J41" s="127"/>
      <c r="K41" s="40">
        <f t="shared" si="3"/>
        <v>0</v>
      </c>
      <c r="L41" s="2"/>
    </row>
    <row r="42" spans="1:12">
      <c r="A42" s="8"/>
      <c r="B42" s="3"/>
      <c r="C42" s="62"/>
      <c r="D42" s="22"/>
      <c r="E42" s="22"/>
      <c r="F42" s="22"/>
      <c r="G42" s="13"/>
      <c r="H42" s="21"/>
      <c r="I42" s="4"/>
      <c r="J42" s="127"/>
      <c r="K42" s="40"/>
      <c r="L42" s="2"/>
    </row>
    <row r="43" spans="1:12" ht="28">
      <c r="A43" s="8">
        <v>62</v>
      </c>
      <c r="B43" s="3" t="s">
        <v>228</v>
      </c>
      <c r="C43" s="62" t="s">
        <v>41</v>
      </c>
      <c r="D43" s="22">
        <f>360-D34-59.75</f>
        <v>235.97000000000003</v>
      </c>
      <c r="E43" s="22"/>
      <c r="F43" s="22">
        <f>E43*D43</f>
        <v>0</v>
      </c>
      <c r="G43" s="258" t="s">
        <v>128</v>
      </c>
      <c r="H43" s="259" t="s">
        <v>51</v>
      </c>
      <c r="I43" s="40">
        <f>1.2*D43</f>
        <v>283.16400000000004</v>
      </c>
      <c r="J43" s="127"/>
      <c r="K43" s="40">
        <f t="shared" ref="K43:K45" si="4">J43*I43</f>
        <v>0</v>
      </c>
      <c r="L43" s="2"/>
    </row>
    <row r="44" spans="1:12" ht="28">
      <c r="A44" s="8"/>
      <c r="B44" s="3"/>
      <c r="C44" s="62"/>
      <c r="D44" s="22"/>
      <c r="E44" s="22"/>
      <c r="F44" s="22"/>
      <c r="G44" s="258" t="s">
        <v>116</v>
      </c>
      <c r="H44" s="259" t="s">
        <v>117</v>
      </c>
      <c r="I44" s="40">
        <f>0.2*D43*2</f>
        <v>94.388000000000019</v>
      </c>
      <c r="J44" s="127"/>
      <c r="K44" s="40">
        <f t="shared" si="4"/>
        <v>0</v>
      </c>
      <c r="L44" s="2"/>
    </row>
    <row r="45" spans="1:12" ht="14">
      <c r="A45" s="8"/>
      <c r="B45" s="3"/>
      <c r="C45" s="62"/>
      <c r="D45" s="22"/>
      <c r="E45" s="22"/>
      <c r="F45" s="22"/>
      <c r="G45" s="13" t="s">
        <v>132</v>
      </c>
      <c r="H45" s="21" t="s">
        <v>41</v>
      </c>
      <c r="I45" s="4">
        <v>5</v>
      </c>
      <c r="J45" s="127"/>
      <c r="K45" s="40">
        <f t="shared" si="4"/>
        <v>0</v>
      </c>
      <c r="L45" s="2"/>
    </row>
    <row r="46" spans="1:12">
      <c r="A46" s="8"/>
      <c r="B46" s="3"/>
      <c r="C46" s="62"/>
      <c r="D46" s="22"/>
      <c r="E46" s="22"/>
      <c r="F46" s="22"/>
      <c r="G46" s="13"/>
      <c r="H46" s="21"/>
      <c r="I46" s="4"/>
      <c r="J46" s="127"/>
      <c r="K46" s="40"/>
      <c r="L46" s="2"/>
    </row>
    <row r="47" spans="1:12" ht="28">
      <c r="A47" s="8">
        <v>63</v>
      </c>
      <c r="B47" s="3" t="s">
        <v>229</v>
      </c>
      <c r="C47" s="62" t="s">
        <v>41</v>
      </c>
      <c r="D47" s="22">
        <f>368-6.56-35.77-17.85</f>
        <v>307.82</v>
      </c>
      <c r="E47" s="22"/>
      <c r="F47" s="22">
        <f>E47*D47</f>
        <v>0</v>
      </c>
      <c r="G47" s="258" t="s">
        <v>136</v>
      </c>
      <c r="H47" s="259" t="s">
        <v>117</v>
      </c>
      <c r="I47" s="40">
        <f>0.2*D47</f>
        <v>61.564</v>
      </c>
      <c r="J47" s="127"/>
      <c r="K47" s="40">
        <f t="shared" si="3"/>
        <v>0</v>
      </c>
      <c r="L47" s="2"/>
    </row>
    <row r="48" spans="1:12">
      <c r="A48" s="8"/>
      <c r="B48" s="3"/>
      <c r="C48" s="62"/>
      <c r="D48" s="22"/>
      <c r="E48" s="22"/>
      <c r="F48" s="22"/>
      <c r="G48" s="258"/>
      <c r="H48" s="259"/>
      <c r="I48" s="40"/>
      <c r="J48" s="127"/>
      <c r="K48" s="40"/>
      <c r="L48" s="2"/>
    </row>
    <row r="49" spans="1:12" ht="42">
      <c r="A49" s="8">
        <v>64</v>
      </c>
      <c r="B49" s="3" t="s">
        <v>230</v>
      </c>
      <c r="C49" s="62" t="s">
        <v>41</v>
      </c>
      <c r="D49" s="22">
        <f>D47</f>
        <v>307.82</v>
      </c>
      <c r="E49" s="22"/>
      <c r="F49" s="22">
        <f>E49*D49</f>
        <v>0</v>
      </c>
      <c r="G49" s="106" t="s">
        <v>138</v>
      </c>
      <c r="H49" s="259" t="s">
        <v>117</v>
      </c>
      <c r="I49" s="40">
        <f>0.28*(48+8.2)</f>
        <v>15.736000000000002</v>
      </c>
      <c r="J49" s="127"/>
      <c r="K49" s="40">
        <f t="shared" ref="K49:K51" si="5">J49*I49</f>
        <v>0</v>
      </c>
      <c r="L49" s="2"/>
    </row>
    <row r="50" spans="1:12" ht="14">
      <c r="A50" s="8"/>
      <c r="B50" s="3"/>
      <c r="C50" s="62"/>
      <c r="D50" s="22"/>
      <c r="E50" s="22"/>
      <c r="F50" s="22"/>
      <c r="G50" s="106" t="s">
        <v>139</v>
      </c>
      <c r="H50" s="259" t="s">
        <v>117</v>
      </c>
      <c r="I50" s="40">
        <f>0.28*D49-I49</f>
        <v>70.453600000000009</v>
      </c>
      <c r="J50" s="127"/>
      <c r="K50" s="40">
        <f t="shared" si="5"/>
        <v>0</v>
      </c>
      <c r="L50" s="2"/>
    </row>
    <row r="51" spans="1:12" ht="14">
      <c r="A51" s="8"/>
      <c r="B51" s="3"/>
      <c r="C51" s="21"/>
      <c r="D51" s="21"/>
      <c r="E51" s="22"/>
      <c r="F51" s="22"/>
      <c r="G51" s="258" t="s">
        <v>140</v>
      </c>
      <c r="H51" s="259" t="s">
        <v>48</v>
      </c>
      <c r="I51" s="142">
        <v>21</v>
      </c>
      <c r="J51" s="127"/>
      <c r="K51" s="40">
        <f t="shared" si="5"/>
        <v>0</v>
      </c>
      <c r="L51" s="2"/>
    </row>
    <row r="52" spans="1:12">
      <c r="A52" s="8"/>
      <c r="B52" s="3"/>
      <c r="C52" s="21"/>
      <c r="D52" s="21"/>
      <c r="E52" s="22"/>
      <c r="F52" s="22"/>
      <c r="G52" s="258"/>
      <c r="H52" s="259"/>
      <c r="I52" s="142"/>
      <c r="J52" s="127"/>
      <c r="K52" s="40"/>
      <c r="L52" s="2"/>
    </row>
    <row r="53" spans="1:12" ht="56">
      <c r="A53" s="8">
        <v>65</v>
      </c>
      <c r="B53" s="176" t="s">
        <v>231</v>
      </c>
      <c r="C53" s="177" t="s">
        <v>41</v>
      </c>
      <c r="D53" s="177">
        <v>32.94</v>
      </c>
      <c r="E53" s="178"/>
      <c r="F53" s="178">
        <f>E53*D53</f>
        <v>0</v>
      </c>
      <c r="G53" s="258" t="s">
        <v>232</v>
      </c>
      <c r="H53" s="259" t="s">
        <v>48</v>
      </c>
      <c r="I53" s="142">
        <v>44</v>
      </c>
      <c r="J53" s="127"/>
      <c r="K53" s="40">
        <f>J53*I53</f>
        <v>0</v>
      </c>
      <c r="L53" s="2"/>
    </row>
    <row r="54" spans="1:12" ht="56">
      <c r="A54" s="8"/>
      <c r="B54" s="176"/>
      <c r="C54" s="177"/>
      <c r="D54" s="177"/>
      <c r="E54" s="178"/>
      <c r="F54" s="178"/>
      <c r="G54" s="258" t="s">
        <v>233</v>
      </c>
      <c r="H54" s="259" t="s">
        <v>48</v>
      </c>
      <c r="I54" s="142">
        <v>32</v>
      </c>
      <c r="J54" s="127"/>
      <c r="K54" s="40">
        <f>J54*I54</f>
        <v>0</v>
      </c>
      <c r="L54" s="2"/>
    </row>
    <row r="55" spans="1:12">
      <c r="A55" s="8"/>
      <c r="B55" s="176"/>
      <c r="C55" s="177"/>
      <c r="D55" s="177"/>
      <c r="E55" s="178"/>
      <c r="F55" s="178"/>
      <c r="G55" s="258"/>
      <c r="H55" s="259"/>
      <c r="I55" s="142"/>
      <c r="J55" s="127"/>
      <c r="K55" s="40"/>
      <c r="L55" s="2"/>
    </row>
    <row r="56" spans="1:12" ht="42">
      <c r="A56" s="8">
        <v>66</v>
      </c>
      <c r="B56" s="176" t="s">
        <v>234</v>
      </c>
      <c r="C56" s="177" t="s">
        <v>41</v>
      </c>
      <c r="D56" s="177">
        <v>37.770000000000003</v>
      </c>
      <c r="E56" s="178"/>
      <c r="F56" s="178">
        <f>E56*D56</f>
        <v>0</v>
      </c>
      <c r="G56" s="258" t="s">
        <v>235</v>
      </c>
      <c r="H56" s="259" t="s">
        <v>41</v>
      </c>
      <c r="I56" s="142">
        <v>43.2</v>
      </c>
      <c r="J56" s="127"/>
      <c r="K56" s="40">
        <f>J56*I56</f>
        <v>0</v>
      </c>
      <c r="L56" s="2"/>
    </row>
    <row r="57" spans="1:12" ht="28">
      <c r="A57" s="8"/>
      <c r="B57" s="3"/>
      <c r="C57" s="21"/>
      <c r="D57" s="21"/>
      <c r="E57" s="22"/>
      <c r="F57" s="22"/>
      <c r="G57" s="258" t="s">
        <v>236</v>
      </c>
      <c r="H57" s="259" t="s">
        <v>48</v>
      </c>
      <c r="I57" s="142">
        <v>14</v>
      </c>
      <c r="J57" s="127"/>
      <c r="K57" s="40">
        <f>J57*I57</f>
        <v>0</v>
      </c>
      <c r="L57" s="2"/>
    </row>
    <row r="58" spans="1:12" ht="28">
      <c r="A58" s="8"/>
      <c r="B58" s="3"/>
      <c r="C58" s="21"/>
      <c r="D58" s="21"/>
      <c r="E58" s="22"/>
      <c r="F58" s="22"/>
      <c r="G58" s="258" t="s">
        <v>237</v>
      </c>
      <c r="H58" s="259" t="s">
        <v>48</v>
      </c>
      <c r="I58" s="142">
        <v>64</v>
      </c>
      <c r="J58" s="127"/>
      <c r="K58" s="40">
        <f t="shared" ref="K58:K64" si="6">J58*I58</f>
        <v>0</v>
      </c>
      <c r="L58" s="2"/>
    </row>
    <row r="59" spans="1:12" ht="28">
      <c r="A59" s="8"/>
      <c r="B59" s="3"/>
      <c r="C59" s="21"/>
      <c r="D59" s="21"/>
      <c r="E59" s="22"/>
      <c r="F59" s="22"/>
      <c r="G59" s="258" t="s">
        <v>238</v>
      </c>
      <c r="H59" s="259" t="s">
        <v>48</v>
      </c>
      <c r="I59" s="142">
        <v>18</v>
      </c>
      <c r="J59" s="127"/>
      <c r="K59" s="40">
        <f t="shared" si="6"/>
        <v>0</v>
      </c>
      <c r="L59" s="2"/>
    </row>
    <row r="60" spans="1:12" ht="28">
      <c r="A60" s="8"/>
      <c r="B60" s="3"/>
      <c r="C60" s="21"/>
      <c r="D60" s="21"/>
      <c r="E60" s="22"/>
      <c r="F60" s="22"/>
      <c r="G60" s="258" t="s">
        <v>239</v>
      </c>
      <c r="H60" s="259" t="s">
        <v>48</v>
      </c>
      <c r="I60" s="142">
        <v>50</v>
      </c>
      <c r="J60" s="127"/>
      <c r="K60" s="40">
        <f t="shared" si="6"/>
        <v>0</v>
      </c>
      <c r="L60" s="2"/>
    </row>
    <row r="61" spans="1:12" ht="14">
      <c r="A61" s="8"/>
      <c r="B61" s="3"/>
      <c r="C61" s="21"/>
      <c r="D61" s="21"/>
      <c r="E61" s="22"/>
      <c r="F61" s="22"/>
      <c r="G61" s="258" t="s">
        <v>240</v>
      </c>
      <c r="H61" s="259" t="s">
        <v>48</v>
      </c>
      <c r="I61" s="142">
        <v>50</v>
      </c>
      <c r="J61" s="127"/>
      <c r="K61" s="40">
        <f t="shared" si="6"/>
        <v>0</v>
      </c>
      <c r="L61" s="2"/>
    </row>
    <row r="62" spans="1:12" ht="14">
      <c r="A62" s="8"/>
      <c r="B62" s="3"/>
      <c r="C62" s="21"/>
      <c r="D62" s="21"/>
      <c r="E62" s="22"/>
      <c r="F62" s="22"/>
      <c r="G62" s="258" t="s">
        <v>241</v>
      </c>
      <c r="H62" s="259" t="s">
        <v>149</v>
      </c>
      <c r="I62" s="142">
        <v>1</v>
      </c>
      <c r="J62" s="127"/>
      <c r="K62" s="40">
        <f t="shared" si="6"/>
        <v>0</v>
      </c>
      <c r="L62" s="2"/>
    </row>
    <row r="63" spans="1:12" ht="28">
      <c r="A63" s="8"/>
      <c r="B63" s="3"/>
      <c r="C63" s="21"/>
      <c r="D63" s="21"/>
      <c r="E63" s="22"/>
      <c r="F63" s="22"/>
      <c r="G63" s="258" t="s">
        <v>242</v>
      </c>
      <c r="H63" s="259" t="s">
        <v>149</v>
      </c>
      <c r="I63" s="142">
        <v>1</v>
      </c>
      <c r="J63" s="127"/>
      <c r="K63" s="40">
        <f t="shared" si="6"/>
        <v>0</v>
      </c>
      <c r="L63" s="2"/>
    </row>
    <row r="64" spans="1:12" ht="28">
      <c r="A64" s="8"/>
      <c r="B64" s="3"/>
      <c r="C64" s="21"/>
      <c r="D64" s="21"/>
      <c r="E64" s="22"/>
      <c r="F64" s="22"/>
      <c r="G64" s="258" t="s">
        <v>243</v>
      </c>
      <c r="H64" s="259" t="s">
        <v>149</v>
      </c>
      <c r="I64" s="142">
        <v>2</v>
      </c>
      <c r="J64" s="127"/>
      <c r="K64" s="40">
        <f t="shared" si="6"/>
        <v>0</v>
      </c>
      <c r="L64" s="2"/>
    </row>
    <row r="65" spans="1:12">
      <c r="A65" s="8"/>
      <c r="B65" s="3"/>
      <c r="C65" s="21"/>
      <c r="D65" s="21"/>
      <c r="E65" s="22"/>
      <c r="F65" s="22"/>
      <c r="G65" s="258"/>
      <c r="H65" s="259"/>
      <c r="I65" s="142"/>
      <c r="J65" s="127"/>
      <c r="K65" s="40"/>
      <c r="L65" s="2"/>
    </row>
    <row r="66" spans="1:12" ht="42">
      <c r="A66" s="8">
        <v>67</v>
      </c>
      <c r="B66" s="176" t="s">
        <v>244</v>
      </c>
      <c r="C66" s="177" t="s">
        <v>41</v>
      </c>
      <c r="D66" s="177">
        <v>17.84</v>
      </c>
      <c r="E66" s="178"/>
      <c r="F66" s="178">
        <f>E66*D66</f>
        <v>0</v>
      </c>
      <c r="G66" s="258" t="s">
        <v>245</v>
      </c>
      <c r="H66" s="259" t="s">
        <v>41</v>
      </c>
      <c r="I66" s="142">
        <v>23.76</v>
      </c>
      <c r="J66" s="127"/>
      <c r="K66" s="40">
        <f>J66*I66</f>
        <v>0</v>
      </c>
      <c r="L66" s="2"/>
    </row>
    <row r="67" spans="1:12" ht="28">
      <c r="A67" s="8"/>
      <c r="B67" s="3"/>
      <c r="C67" s="21"/>
      <c r="D67" s="21"/>
      <c r="E67" s="22"/>
      <c r="F67" s="22"/>
      <c r="G67" s="258" t="s">
        <v>236</v>
      </c>
      <c r="H67" s="259" t="s">
        <v>48</v>
      </c>
      <c r="I67" s="142">
        <v>8</v>
      </c>
      <c r="J67" s="127"/>
      <c r="K67" s="40">
        <f>J67*I67</f>
        <v>0</v>
      </c>
      <c r="L67" s="2"/>
    </row>
    <row r="68" spans="1:12" ht="28">
      <c r="A68" s="8"/>
      <c r="B68" s="3"/>
      <c r="C68" s="21"/>
      <c r="D68" s="21"/>
      <c r="E68" s="22"/>
      <c r="F68" s="22"/>
      <c r="G68" s="258" t="s">
        <v>237</v>
      </c>
      <c r="H68" s="259" t="s">
        <v>48</v>
      </c>
      <c r="I68" s="142">
        <v>40</v>
      </c>
      <c r="J68" s="127"/>
      <c r="K68" s="40">
        <f t="shared" ref="K68:K76" si="7">J68*I68</f>
        <v>0</v>
      </c>
      <c r="L68" s="2"/>
    </row>
    <row r="69" spans="1:12" ht="28">
      <c r="A69" s="8"/>
      <c r="B69" s="3"/>
      <c r="C69" s="21"/>
      <c r="D69" s="21"/>
      <c r="E69" s="22"/>
      <c r="F69" s="22"/>
      <c r="G69" s="258" t="s">
        <v>238</v>
      </c>
      <c r="H69" s="259" t="s">
        <v>48</v>
      </c>
      <c r="I69" s="142">
        <v>10</v>
      </c>
      <c r="J69" s="127"/>
      <c r="K69" s="40">
        <f t="shared" si="7"/>
        <v>0</v>
      </c>
      <c r="L69" s="2"/>
    </row>
    <row r="70" spans="1:12" ht="28">
      <c r="A70" s="8"/>
      <c r="B70" s="3"/>
      <c r="C70" s="21"/>
      <c r="D70" s="21"/>
      <c r="E70" s="22"/>
      <c r="F70" s="22"/>
      <c r="G70" s="258" t="s">
        <v>239</v>
      </c>
      <c r="H70" s="259" t="s">
        <v>48</v>
      </c>
      <c r="I70" s="142">
        <v>30</v>
      </c>
      <c r="J70" s="127"/>
      <c r="K70" s="40">
        <f t="shared" si="7"/>
        <v>0</v>
      </c>
      <c r="L70" s="2"/>
    </row>
    <row r="71" spans="1:12" ht="14">
      <c r="A71" s="8"/>
      <c r="B71" s="3"/>
      <c r="C71" s="21"/>
      <c r="D71" s="21"/>
      <c r="E71" s="22"/>
      <c r="F71" s="22"/>
      <c r="G71" s="258" t="s">
        <v>240</v>
      </c>
      <c r="H71" s="259" t="s">
        <v>48</v>
      </c>
      <c r="I71" s="142">
        <v>30</v>
      </c>
      <c r="J71" s="127"/>
      <c r="K71" s="40">
        <f t="shared" si="7"/>
        <v>0</v>
      </c>
      <c r="L71" s="2"/>
    </row>
    <row r="72" spans="1:12" ht="14">
      <c r="A72" s="8"/>
      <c r="B72" s="3"/>
      <c r="C72" s="21"/>
      <c r="D72" s="21"/>
      <c r="E72" s="22"/>
      <c r="F72" s="22"/>
      <c r="G72" s="258" t="s">
        <v>241</v>
      </c>
      <c r="H72" s="259" t="s">
        <v>149</v>
      </c>
      <c r="I72" s="142">
        <v>1</v>
      </c>
      <c r="J72" s="127"/>
      <c r="K72" s="40">
        <f t="shared" si="7"/>
        <v>0</v>
      </c>
      <c r="L72" s="2"/>
    </row>
    <row r="73" spans="1:12" ht="28">
      <c r="A73" s="8"/>
      <c r="B73" s="3"/>
      <c r="C73" s="21"/>
      <c r="D73" s="21"/>
      <c r="E73" s="22"/>
      <c r="F73" s="22"/>
      <c r="G73" s="258" t="s">
        <v>242</v>
      </c>
      <c r="H73" s="259" t="s">
        <v>149</v>
      </c>
      <c r="I73" s="142">
        <v>1</v>
      </c>
      <c r="J73" s="127"/>
      <c r="K73" s="40">
        <f t="shared" si="7"/>
        <v>0</v>
      </c>
      <c r="L73" s="2"/>
    </row>
    <row r="74" spans="1:12" ht="28">
      <c r="A74" s="8"/>
      <c r="B74" s="3"/>
      <c r="C74" s="21"/>
      <c r="D74" s="21"/>
      <c r="E74" s="22"/>
      <c r="F74" s="22"/>
      <c r="G74" s="258" t="s">
        <v>243</v>
      </c>
      <c r="H74" s="259" t="s">
        <v>149</v>
      </c>
      <c r="I74" s="142">
        <v>1</v>
      </c>
      <c r="J74" s="127"/>
      <c r="K74" s="40">
        <f t="shared" si="7"/>
        <v>0</v>
      </c>
      <c r="L74" s="2"/>
    </row>
    <row r="75" spans="1:12">
      <c r="A75" s="8"/>
      <c r="B75" s="3"/>
      <c r="C75" s="21"/>
      <c r="D75" s="21"/>
      <c r="E75" s="22"/>
      <c r="F75" s="22"/>
      <c r="G75" s="258"/>
      <c r="H75" s="259"/>
      <c r="I75" s="142"/>
      <c r="J75" s="127"/>
      <c r="K75" s="40"/>
      <c r="L75" s="2"/>
    </row>
    <row r="76" spans="1:12" ht="56">
      <c r="A76" s="8">
        <v>68</v>
      </c>
      <c r="B76" s="3" t="s">
        <v>246</v>
      </c>
      <c r="C76" s="62" t="s">
        <v>41</v>
      </c>
      <c r="D76" s="22">
        <f>D66</f>
        <v>17.84</v>
      </c>
      <c r="E76" s="22"/>
      <c r="F76" s="22">
        <f>E76*D76</f>
        <v>0</v>
      </c>
      <c r="G76" s="106" t="s">
        <v>138</v>
      </c>
      <c r="H76" s="259" t="s">
        <v>117</v>
      </c>
      <c r="I76" s="40">
        <f>0.28*D76</f>
        <v>4.9952000000000005</v>
      </c>
      <c r="J76" s="127"/>
      <c r="K76" s="40">
        <f t="shared" si="7"/>
        <v>0</v>
      </c>
      <c r="L76" s="2"/>
    </row>
    <row r="77" spans="1:12">
      <c r="A77" s="8"/>
      <c r="B77" s="3"/>
      <c r="C77" s="21"/>
      <c r="D77" s="21"/>
      <c r="E77" s="22"/>
      <c r="F77" s="22"/>
      <c r="G77" s="106"/>
      <c r="H77" s="70"/>
      <c r="I77" s="41"/>
      <c r="J77" s="126"/>
      <c r="K77" s="40"/>
      <c r="L77" s="2"/>
    </row>
    <row r="78" spans="1:12" ht="56">
      <c r="A78" s="8">
        <v>69</v>
      </c>
      <c r="B78" s="176" t="s">
        <v>247</v>
      </c>
      <c r="C78" s="177" t="s">
        <v>41</v>
      </c>
      <c r="D78" s="177">
        <v>6.13</v>
      </c>
      <c r="E78" s="178"/>
      <c r="F78" s="22">
        <f>E78*D78</f>
        <v>0</v>
      </c>
      <c r="G78" s="166" t="s">
        <v>248</v>
      </c>
      <c r="H78" s="70" t="s">
        <v>41</v>
      </c>
      <c r="I78" s="43">
        <v>7.2</v>
      </c>
      <c r="J78" s="44"/>
      <c r="K78" s="40">
        <f>J78*I78</f>
        <v>0</v>
      </c>
      <c r="L78" s="2"/>
    </row>
    <row r="79" spans="1:12" ht="14">
      <c r="A79" s="8"/>
      <c r="B79" s="3"/>
      <c r="C79" s="21"/>
      <c r="D79" s="21"/>
      <c r="E79" s="22"/>
      <c r="F79" s="22"/>
      <c r="G79" s="106" t="s">
        <v>113</v>
      </c>
      <c r="H79" s="70" t="s">
        <v>74</v>
      </c>
      <c r="I79" s="41">
        <v>25.7</v>
      </c>
      <c r="J79" s="126"/>
      <c r="K79" s="40">
        <f t="shared" ref="K79:K80" si="8">J79*I79</f>
        <v>0</v>
      </c>
      <c r="L79" s="2"/>
    </row>
    <row r="80" spans="1:12" ht="14">
      <c r="A80" s="8"/>
      <c r="B80" s="3"/>
      <c r="C80" s="21"/>
      <c r="D80" s="21"/>
      <c r="E80" s="22"/>
      <c r="F80" s="22"/>
      <c r="G80" s="106" t="s">
        <v>112</v>
      </c>
      <c r="H80" s="70" t="s">
        <v>74</v>
      </c>
      <c r="I80" s="40">
        <v>31.7</v>
      </c>
      <c r="J80" s="126"/>
      <c r="K80" s="40">
        <f t="shared" si="8"/>
        <v>0</v>
      </c>
      <c r="L80" s="2"/>
    </row>
    <row r="81" spans="1:12" ht="14">
      <c r="A81" s="8"/>
      <c r="B81" s="3"/>
      <c r="C81" s="21"/>
      <c r="D81" s="21"/>
      <c r="E81" s="22"/>
      <c r="F81" s="22"/>
      <c r="G81" s="106" t="s">
        <v>110</v>
      </c>
      <c r="H81" s="70" t="s">
        <v>48</v>
      </c>
      <c r="I81" s="41">
        <v>14</v>
      </c>
      <c r="J81" s="38"/>
      <c r="K81" s="40">
        <f>J81*I81</f>
        <v>0</v>
      </c>
      <c r="L81" s="2"/>
    </row>
    <row r="82" spans="1:12" ht="28">
      <c r="A82" s="8"/>
      <c r="B82" s="3"/>
      <c r="C82" s="21"/>
      <c r="D82" s="21"/>
      <c r="E82" s="22"/>
      <c r="F82" s="22"/>
      <c r="G82" s="258" t="s">
        <v>187</v>
      </c>
      <c r="H82" s="70" t="s">
        <v>48</v>
      </c>
      <c r="I82" s="41">
        <v>300</v>
      </c>
      <c r="J82" s="126"/>
      <c r="K82" s="40">
        <f t="shared" ref="K82:K84" si="9">J82*I82</f>
        <v>0</v>
      </c>
      <c r="L82" s="2"/>
    </row>
    <row r="83" spans="1:12" ht="14">
      <c r="A83" s="8"/>
      <c r="B83" s="3"/>
      <c r="C83" s="21"/>
      <c r="D83" s="21"/>
      <c r="E83" s="22"/>
      <c r="F83" s="22"/>
      <c r="G83" s="106" t="s">
        <v>77</v>
      </c>
      <c r="H83" s="70" t="s">
        <v>48</v>
      </c>
      <c r="I83" s="41">
        <v>1800</v>
      </c>
      <c r="J83" s="126"/>
      <c r="K83" s="40">
        <f t="shared" si="9"/>
        <v>0</v>
      </c>
      <c r="L83" s="2"/>
    </row>
    <row r="84" spans="1:12" ht="28">
      <c r="A84" s="8"/>
      <c r="B84" s="3"/>
      <c r="C84" s="21"/>
      <c r="D84" s="21"/>
      <c r="E84" s="22"/>
      <c r="F84" s="22"/>
      <c r="G84" s="258" t="s">
        <v>186</v>
      </c>
      <c r="H84" s="25" t="s">
        <v>48</v>
      </c>
      <c r="I84" s="40">
        <v>90</v>
      </c>
      <c r="J84" s="127"/>
      <c r="K84" s="40">
        <f t="shared" si="9"/>
        <v>0</v>
      </c>
      <c r="L84" s="2"/>
    </row>
    <row r="85" spans="1:12">
      <c r="A85" s="8"/>
      <c r="B85" s="3"/>
      <c r="C85" s="21"/>
      <c r="D85" s="21"/>
      <c r="E85" s="22"/>
      <c r="F85" s="22"/>
      <c r="G85" s="161"/>
      <c r="H85" s="25"/>
      <c r="I85" s="40"/>
      <c r="J85" s="127"/>
      <c r="K85" s="40"/>
      <c r="L85" s="2"/>
    </row>
    <row r="86" spans="1:12" ht="56">
      <c r="A86" s="8"/>
      <c r="B86" s="3" t="s">
        <v>249</v>
      </c>
      <c r="C86" s="62" t="s">
        <v>41</v>
      </c>
      <c r="D86" s="22">
        <f>D78</f>
        <v>6.13</v>
      </c>
      <c r="E86" s="22"/>
      <c r="F86" s="22">
        <f>E86*D86</f>
        <v>0</v>
      </c>
      <c r="G86" s="106" t="s">
        <v>202</v>
      </c>
      <c r="H86" s="259" t="s">
        <v>117</v>
      </c>
      <c r="I86" s="40">
        <v>0.9</v>
      </c>
      <c r="J86" s="127"/>
      <c r="K86" s="40">
        <f t="shared" ref="K86" si="10">J86*I86</f>
        <v>0</v>
      </c>
      <c r="L86" s="2"/>
    </row>
    <row r="87" spans="1:12">
      <c r="A87" s="8"/>
      <c r="B87" s="3"/>
      <c r="C87" s="21"/>
      <c r="D87" s="21"/>
      <c r="E87" s="22"/>
      <c r="F87" s="22"/>
      <c r="G87" s="161"/>
      <c r="H87" s="25"/>
      <c r="I87" s="40"/>
      <c r="J87" s="127"/>
      <c r="K87" s="40"/>
      <c r="L87" s="2"/>
    </row>
    <row r="88" spans="1:12" ht="42">
      <c r="A88" s="8">
        <v>70</v>
      </c>
      <c r="B88" s="176" t="s">
        <v>250</v>
      </c>
      <c r="C88" s="177" t="s">
        <v>48</v>
      </c>
      <c r="D88" s="177">
        <v>11</v>
      </c>
      <c r="E88" s="178"/>
      <c r="F88" s="22">
        <f>E88*D88</f>
        <v>0</v>
      </c>
      <c r="G88" s="166" t="s">
        <v>248</v>
      </c>
      <c r="H88" s="70" t="s">
        <v>41</v>
      </c>
      <c r="I88" s="43">
        <v>31.68</v>
      </c>
      <c r="J88" s="44"/>
      <c r="K88" s="40">
        <f>J88*I88</f>
        <v>0</v>
      </c>
      <c r="L88" s="2"/>
    </row>
    <row r="89" spans="1:12" ht="14">
      <c r="A89" s="8"/>
      <c r="B89" s="3"/>
      <c r="C89" s="21"/>
      <c r="D89" s="21"/>
      <c r="E89" s="22"/>
      <c r="F89" s="22"/>
      <c r="G89" s="106" t="s">
        <v>113</v>
      </c>
      <c r="H89" s="70" t="s">
        <v>74</v>
      </c>
      <c r="I89" s="41">
        <f>36+81+18</f>
        <v>135</v>
      </c>
      <c r="J89" s="126"/>
      <c r="K89" s="40">
        <f t="shared" ref="K89:K94" si="11">J89*I89</f>
        <v>0</v>
      </c>
      <c r="L89" s="2"/>
    </row>
    <row r="90" spans="1:12" ht="14">
      <c r="A90" s="8"/>
      <c r="B90" s="3"/>
      <c r="C90" s="21"/>
      <c r="D90" s="21"/>
      <c r="E90" s="22"/>
      <c r="F90" s="22"/>
      <c r="G90" s="106" t="s">
        <v>112</v>
      </c>
      <c r="H90" s="70" t="s">
        <v>74</v>
      </c>
      <c r="I90" s="40">
        <f>24+54+12</f>
        <v>90</v>
      </c>
      <c r="J90" s="126"/>
      <c r="K90" s="40">
        <f t="shared" si="11"/>
        <v>0</v>
      </c>
      <c r="L90" s="2"/>
    </row>
    <row r="91" spans="1:12" ht="28">
      <c r="A91" s="8"/>
      <c r="B91" s="3"/>
      <c r="C91" s="21"/>
      <c r="D91" s="21"/>
      <c r="E91" s="22"/>
      <c r="F91" s="22"/>
      <c r="G91" s="258" t="s">
        <v>187</v>
      </c>
      <c r="H91" s="70" t="s">
        <v>48</v>
      </c>
      <c r="I91" s="41">
        <v>1560</v>
      </c>
      <c r="J91" s="126"/>
      <c r="K91" s="40">
        <f t="shared" si="11"/>
        <v>0</v>
      </c>
      <c r="L91" s="2"/>
    </row>
    <row r="92" spans="1:12" ht="14">
      <c r="A92" s="8"/>
      <c r="B92" s="3"/>
      <c r="C92" s="21"/>
      <c r="D92" s="21"/>
      <c r="E92" s="22"/>
      <c r="F92" s="22"/>
      <c r="G92" s="106" t="s">
        <v>77</v>
      </c>
      <c r="H92" s="70" t="s">
        <v>48</v>
      </c>
      <c r="I92" s="41">
        <v>480</v>
      </c>
      <c r="J92" s="126"/>
      <c r="K92" s="40">
        <f t="shared" si="11"/>
        <v>0</v>
      </c>
      <c r="L92" s="2"/>
    </row>
    <row r="93" spans="1:12" ht="14">
      <c r="A93" s="8"/>
      <c r="B93" s="3"/>
      <c r="C93" s="21"/>
      <c r="D93" s="21"/>
      <c r="E93" s="22"/>
      <c r="F93" s="22"/>
      <c r="G93" s="258" t="s">
        <v>251</v>
      </c>
      <c r="H93" s="25" t="s">
        <v>48</v>
      </c>
      <c r="I93" s="40">
        <v>44</v>
      </c>
      <c r="J93" s="127"/>
      <c r="K93" s="40">
        <f t="shared" si="11"/>
        <v>0</v>
      </c>
      <c r="L93" s="2"/>
    </row>
    <row r="94" spans="1:12">
      <c r="A94" s="8"/>
      <c r="B94" s="3"/>
      <c r="C94" s="21"/>
      <c r="D94" s="21"/>
      <c r="E94" s="22"/>
      <c r="F94" s="22"/>
      <c r="G94" s="161" t="s">
        <v>252</v>
      </c>
      <c r="H94" s="25" t="s">
        <v>48</v>
      </c>
      <c r="I94" s="40">
        <v>44</v>
      </c>
      <c r="J94" s="127"/>
      <c r="K94" s="40">
        <f t="shared" si="11"/>
        <v>0</v>
      </c>
      <c r="L94" s="2"/>
    </row>
    <row r="95" spans="1:12">
      <c r="A95" s="8"/>
      <c r="B95" s="3"/>
      <c r="C95" s="21"/>
      <c r="D95" s="21"/>
      <c r="E95" s="22"/>
      <c r="F95" s="22"/>
      <c r="G95" s="161"/>
      <c r="H95" s="25"/>
      <c r="I95" s="40"/>
      <c r="J95" s="127"/>
      <c r="K95" s="40"/>
      <c r="L95" s="2"/>
    </row>
    <row r="96" spans="1:12" ht="42">
      <c r="A96" s="8">
        <v>71</v>
      </c>
      <c r="B96" s="176" t="s">
        <v>253</v>
      </c>
      <c r="C96" s="177" t="s">
        <v>48</v>
      </c>
      <c r="D96" s="177">
        <v>3</v>
      </c>
      <c r="E96" s="178"/>
      <c r="F96" s="22">
        <f>E96*D96</f>
        <v>0</v>
      </c>
      <c r="G96" s="166" t="s">
        <v>254</v>
      </c>
      <c r="H96" s="70" t="s">
        <v>48</v>
      </c>
      <c r="I96" s="43">
        <v>3</v>
      </c>
      <c r="J96" s="44"/>
      <c r="K96" s="40">
        <f>J96*I96</f>
        <v>0</v>
      </c>
      <c r="L96" s="2"/>
    </row>
    <row r="97" spans="1:12" ht="14">
      <c r="A97" s="8"/>
      <c r="B97" s="3"/>
      <c r="C97" s="21"/>
      <c r="D97" s="21"/>
      <c r="E97" s="22"/>
      <c r="F97" s="22"/>
      <c r="G97" s="106" t="s">
        <v>255</v>
      </c>
      <c r="H97" s="70" t="s">
        <v>103</v>
      </c>
      <c r="I97" s="41">
        <v>1</v>
      </c>
      <c r="J97" s="126"/>
      <c r="K97" s="40">
        <f t="shared" ref="K97" si="12">J97*I97</f>
        <v>0</v>
      </c>
      <c r="L97" s="2"/>
    </row>
    <row r="99" spans="1:12">
      <c r="E99" t="s">
        <v>150</v>
      </c>
      <c r="F99" s="253">
        <f>SUM(F3:F97)</f>
        <v>0</v>
      </c>
      <c r="J99" t="s">
        <v>151</v>
      </c>
      <c r="K99" s="253">
        <f>SUM(K3:K97)</f>
        <v>0</v>
      </c>
    </row>
  </sheetData>
  <sheetProtection algorithmName="SHA-512" hashValue="3rNafmCYmui5Ji8JIl67SkEnCrh662Rns7dZ4QgF6G1WOJr+OOV4geGDlekq4KK1X12WSvTe4jQewXXAxAhfsA==" saltValue="eKsf/DzLRHXb6kGibkCBCQ==" spinCount="100000" sheet="1" objects="1" scenarios="1"/>
  <protectedRanges>
    <protectedRange sqref="J3:J97" name="Materials"/>
    <protectedRange sqref="E3:E97" name="Works"/>
  </protectedRanges>
  <mergeCells count="7">
    <mergeCell ref="L1:L2"/>
    <mergeCell ref="A1:A2"/>
    <mergeCell ref="B1:B2"/>
    <mergeCell ref="C1:C2"/>
    <mergeCell ref="D1:D2"/>
    <mergeCell ref="E1:F1"/>
    <mergeCell ref="G1:K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5"/>
  <sheetViews>
    <sheetView topLeftCell="A29" workbookViewId="0">
      <selection activeCell="J42" sqref="J42"/>
    </sheetView>
  </sheetViews>
  <sheetFormatPr baseColWidth="10" defaultColWidth="8.83203125" defaultRowHeight="13"/>
  <cols>
    <col min="2" max="2" width="41.1640625" customWidth="1"/>
    <col min="6" max="6" width="13.83203125" customWidth="1"/>
    <col min="7" max="7" width="40.33203125" customWidth="1"/>
    <col min="11" max="11" width="13.33203125" customWidth="1"/>
  </cols>
  <sheetData>
    <row r="1" spans="1:12">
      <c r="A1" s="285" t="s">
        <v>24</v>
      </c>
      <c r="B1" s="287" t="s">
        <v>25</v>
      </c>
      <c r="C1" s="288" t="s">
        <v>26</v>
      </c>
      <c r="D1" s="288" t="s">
        <v>27</v>
      </c>
      <c r="E1" s="289" t="s">
        <v>28</v>
      </c>
      <c r="F1" s="289"/>
      <c r="G1" s="290" t="s">
        <v>29</v>
      </c>
      <c r="H1" s="290"/>
      <c r="I1" s="290"/>
      <c r="J1" s="290"/>
      <c r="K1" s="290"/>
      <c r="L1" s="284" t="s">
        <v>30</v>
      </c>
    </row>
    <row r="2" spans="1:12" ht="28">
      <c r="A2" s="286"/>
      <c r="B2" s="287"/>
      <c r="C2" s="288"/>
      <c r="D2" s="288"/>
      <c r="E2" s="40" t="s">
        <v>31</v>
      </c>
      <c r="F2" s="40" t="s">
        <v>32</v>
      </c>
      <c r="G2" s="258" t="s">
        <v>33</v>
      </c>
      <c r="H2" s="259" t="s">
        <v>26</v>
      </c>
      <c r="I2" s="259" t="s">
        <v>27</v>
      </c>
      <c r="J2" s="40" t="s">
        <v>31</v>
      </c>
      <c r="K2" s="40" t="s">
        <v>32</v>
      </c>
      <c r="L2" s="284"/>
    </row>
    <row r="3" spans="1:12" ht="14">
      <c r="A3" s="8"/>
      <c r="B3" s="18" t="s">
        <v>8</v>
      </c>
      <c r="C3" s="21"/>
      <c r="D3" s="21"/>
      <c r="E3" s="22"/>
      <c r="F3" s="22"/>
      <c r="G3" s="106"/>
      <c r="H3" s="70"/>
      <c r="I3" s="40"/>
      <c r="J3" s="126"/>
      <c r="K3" s="40"/>
      <c r="L3" s="2"/>
    </row>
    <row r="4" spans="1:12" ht="29">
      <c r="A4" s="8">
        <v>72</v>
      </c>
      <c r="B4" s="179" t="s">
        <v>256</v>
      </c>
      <c r="C4" s="180" t="s">
        <v>41</v>
      </c>
      <c r="D4" s="132">
        <v>20.92</v>
      </c>
      <c r="E4" s="178"/>
      <c r="F4" s="178">
        <f>E4*D4</f>
        <v>0</v>
      </c>
      <c r="G4" s="214" t="s">
        <v>257</v>
      </c>
      <c r="H4" s="215" t="s">
        <v>258</v>
      </c>
      <c r="I4" s="132">
        <f>1.5*D4</f>
        <v>31.380000000000003</v>
      </c>
      <c r="J4" s="216"/>
      <c r="K4" s="184">
        <f t="shared" ref="K4:K6" si="0">J4*I4</f>
        <v>0</v>
      </c>
      <c r="L4" s="2"/>
    </row>
    <row r="5" spans="1:12" ht="16">
      <c r="A5" s="8"/>
      <c r="B5" s="176"/>
      <c r="C5" s="141"/>
      <c r="D5" s="217"/>
      <c r="E5" s="178"/>
      <c r="F5" s="178"/>
      <c r="G5" s="214" t="s">
        <v>259</v>
      </c>
      <c r="H5" s="215" t="s">
        <v>41</v>
      </c>
      <c r="I5" s="132">
        <f>1.1*D4</f>
        <v>23.012000000000004</v>
      </c>
      <c r="J5" s="216"/>
      <c r="K5" s="184">
        <f t="shared" si="0"/>
        <v>0</v>
      </c>
      <c r="L5" s="2"/>
    </row>
    <row r="6" spans="1:12" ht="16">
      <c r="A6" s="8">
        <v>73</v>
      </c>
      <c r="B6" s="179" t="s">
        <v>260</v>
      </c>
      <c r="C6" s="180" t="s">
        <v>74</v>
      </c>
      <c r="D6" s="132">
        <v>23</v>
      </c>
      <c r="E6" s="178"/>
      <c r="F6" s="178">
        <f>E6*D6</f>
        <v>0</v>
      </c>
      <c r="G6" s="214" t="s">
        <v>261</v>
      </c>
      <c r="H6" s="218" t="s">
        <v>262</v>
      </c>
      <c r="I6" s="219">
        <f>0.12*D4</f>
        <v>2.5104000000000002</v>
      </c>
      <c r="J6" s="220"/>
      <c r="K6" s="184">
        <f t="shared" si="0"/>
        <v>0</v>
      </c>
      <c r="L6" s="2"/>
    </row>
    <row r="7" spans="1:12">
      <c r="A7" s="8"/>
      <c r="B7" s="12"/>
      <c r="C7" s="27"/>
      <c r="D7" s="73"/>
      <c r="E7" s="22"/>
      <c r="F7" s="22"/>
      <c r="G7" s="12"/>
      <c r="H7" s="49"/>
      <c r="I7" s="25"/>
      <c r="J7" s="127"/>
      <c r="K7" s="26"/>
      <c r="L7" s="2"/>
    </row>
    <row r="8" spans="1:12" ht="14">
      <c r="A8" s="8">
        <v>74</v>
      </c>
      <c r="B8" s="10" t="s">
        <v>263</v>
      </c>
      <c r="C8" s="49" t="s">
        <v>41</v>
      </c>
      <c r="D8" s="25">
        <f>25.35+36.22-D4</f>
        <v>40.65</v>
      </c>
      <c r="E8" s="22"/>
      <c r="F8" s="22">
        <f>E8*D8</f>
        <v>0</v>
      </c>
      <c r="G8" s="12" t="s">
        <v>116</v>
      </c>
      <c r="H8" s="27" t="s">
        <v>117</v>
      </c>
      <c r="I8" s="26">
        <f>0.2*D8</f>
        <v>8.1300000000000008</v>
      </c>
      <c r="J8" s="127"/>
      <c r="K8" s="26">
        <f t="shared" ref="K8:K16" si="1">J8*I8</f>
        <v>0</v>
      </c>
      <c r="L8" s="2"/>
    </row>
    <row r="9" spans="1:12" ht="28">
      <c r="A9" s="8">
        <v>75</v>
      </c>
      <c r="B9" s="104" t="s">
        <v>264</v>
      </c>
      <c r="C9" s="27" t="s">
        <v>41</v>
      </c>
      <c r="D9" s="26">
        <f>36.46</f>
        <v>36.46</v>
      </c>
      <c r="E9" s="22"/>
      <c r="F9" s="22">
        <f>E9*D9</f>
        <v>0</v>
      </c>
      <c r="G9" s="12" t="s">
        <v>265</v>
      </c>
      <c r="H9" s="49" t="s">
        <v>41</v>
      </c>
      <c r="I9" s="25">
        <f>1.06*D9</f>
        <v>38.647600000000004</v>
      </c>
      <c r="J9" s="4"/>
      <c r="K9" s="26">
        <f t="shared" si="1"/>
        <v>0</v>
      </c>
      <c r="L9" s="2"/>
    </row>
    <row r="10" spans="1:12" ht="14">
      <c r="A10" s="8"/>
      <c r="B10" s="12"/>
      <c r="C10" s="27"/>
      <c r="D10" s="27"/>
      <c r="E10" s="22"/>
      <c r="F10" s="22"/>
      <c r="G10" s="179" t="s">
        <v>146</v>
      </c>
      <c r="H10" s="180" t="s">
        <v>51</v>
      </c>
      <c r="I10" s="132">
        <f>6*D9</f>
        <v>218.76</v>
      </c>
      <c r="J10" s="127"/>
      <c r="K10" s="26">
        <f t="shared" si="1"/>
        <v>0</v>
      </c>
      <c r="L10" s="2"/>
    </row>
    <row r="11" spans="1:12" ht="14">
      <c r="A11" s="8"/>
      <c r="B11" s="12"/>
      <c r="C11" s="27"/>
      <c r="D11" s="27"/>
      <c r="E11" s="22"/>
      <c r="F11" s="22"/>
      <c r="G11" s="106" t="s">
        <v>266</v>
      </c>
      <c r="H11" s="128" t="s">
        <v>51</v>
      </c>
      <c r="I11" s="26">
        <f>0.5*D9</f>
        <v>18.23</v>
      </c>
      <c r="J11" s="127"/>
      <c r="K11" s="26">
        <f t="shared" si="1"/>
        <v>0</v>
      </c>
      <c r="L11" s="2"/>
    </row>
    <row r="12" spans="1:12" ht="14">
      <c r="A12" s="8"/>
      <c r="B12" s="12"/>
      <c r="C12" s="27"/>
      <c r="D12" s="27"/>
      <c r="E12" s="22"/>
      <c r="F12" s="22"/>
      <c r="G12" s="12" t="s">
        <v>148</v>
      </c>
      <c r="H12" s="27" t="s">
        <v>149</v>
      </c>
      <c r="I12" s="26">
        <v>2</v>
      </c>
      <c r="J12" s="127"/>
      <c r="K12" s="26">
        <f t="shared" si="1"/>
        <v>0</v>
      </c>
      <c r="L12" s="2"/>
    </row>
    <row r="13" spans="1:12" ht="28">
      <c r="A13" s="8">
        <v>76</v>
      </c>
      <c r="B13" s="12" t="s">
        <v>267</v>
      </c>
      <c r="C13" s="27" t="s">
        <v>41</v>
      </c>
      <c r="D13" s="27">
        <v>25.35</v>
      </c>
      <c r="E13" s="22"/>
      <c r="F13" s="22">
        <f>E13*D13</f>
        <v>0</v>
      </c>
      <c r="G13" s="12" t="s">
        <v>268</v>
      </c>
      <c r="H13" s="49" t="s">
        <v>41</v>
      </c>
      <c r="I13" s="25">
        <f>1.16*D13</f>
        <v>29.405999999999999</v>
      </c>
      <c r="J13" s="4"/>
      <c r="K13" s="26">
        <f t="shared" si="1"/>
        <v>0</v>
      </c>
      <c r="L13" s="2"/>
    </row>
    <row r="14" spans="1:12" ht="14">
      <c r="A14" s="8"/>
      <c r="B14" s="12"/>
      <c r="C14" s="27"/>
      <c r="D14" s="27"/>
      <c r="E14" s="22"/>
      <c r="F14" s="22"/>
      <c r="G14" s="12" t="s">
        <v>146</v>
      </c>
      <c r="H14" s="27" t="s">
        <v>51</v>
      </c>
      <c r="I14" s="26">
        <f>6*D13</f>
        <v>152.10000000000002</v>
      </c>
      <c r="J14" s="127"/>
      <c r="K14" s="26">
        <f t="shared" si="1"/>
        <v>0</v>
      </c>
      <c r="L14" s="2"/>
    </row>
    <row r="15" spans="1:12" ht="14">
      <c r="A15" s="8"/>
      <c r="B15" s="12"/>
      <c r="C15" s="27"/>
      <c r="D15" s="27"/>
      <c r="E15" s="22"/>
      <c r="F15" s="22"/>
      <c r="G15" s="106" t="s">
        <v>266</v>
      </c>
      <c r="H15" s="128" t="s">
        <v>51</v>
      </c>
      <c r="I15" s="26">
        <f>0.5*D13</f>
        <v>12.675000000000001</v>
      </c>
      <c r="J15" s="127"/>
      <c r="K15" s="26">
        <f t="shared" si="1"/>
        <v>0</v>
      </c>
      <c r="L15" s="2"/>
    </row>
    <row r="16" spans="1:12" ht="14">
      <c r="A16" s="8"/>
      <c r="B16" s="12"/>
      <c r="C16" s="27"/>
      <c r="D16" s="27"/>
      <c r="E16" s="22"/>
      <c r="F16" s="22"/>
      <c r="G16" s="12" t="s">
        <v>148</v>
      </c>
      <c r="H16" s="27" t="s">
        <v>149</v>
      </c>
      <c r="I16" s="26">
        <v>2</v>
      </c>
      <c r="J16" s="127"/>
      <c r="K16" s="26">
        <f t="shared" si="1"/>
        <v>0</v>
      </c>
      <c r="L16" s="2"/>
    </row>
    <row r="17" spans="1:12">
      <c r="A17" s="8"/>
      <c r="B17" s="12"/>
      <c r="C17" s="27"/>
      <c r="D17" s="27"/>
      <c r="E17" s="22"/>
      <c r="F17" s="22"/>
      <c r="G17" s="12"/>
      <c r="H17" s="27"/>
      <c r="I17" s="26"/>
      <c r="J17" s="127"/>
      <c r="K17" s="26"/>
      <c r="L17" s="2"/>
    </row>
    <row r="18" spans="1:12" ht="14">
      <c r="A18" s="8">
        <v>77</v>
      </c>
      <c r="B18" s="12" t="s">
        <v>269</v>
      </c>
      <c r="C18" s="27" t="s">
        <v>41</v>
      </c>
      <c r="D18" s="27">
        <v>317.32</v>
      </c>
      <c r="E18" s="22"/>
      <c r="F18" s="22">
        <f>E18*D18</f>
        <v>0</v>
      </c>
      <c r="G18" s="12" t="s">
        <v>116</v>
      </c>
      <c r="H18" s="27" t="s">
        <v>117</v>
      </c>
      <c r="I18" s="26">
        <f>0.25*D18</f>
        <v>79.33</v>
      </c>
      <c r="J18" s="127"/>
      <c r="K18" s="26">
        <f t="shared" ref="K18:K22" si="2">J18*I18</f>
        <v>0</v>
      </c>
      <c r="L18" s="2"/>
    </row>
    <row r="19" spans="1:12">
      <c r="A19" s="8"/>
      <c r="B19" s="12"/>
      <c r="C19" s="27"/>
      <c r="D19" s="27"/>
      <c r="E19" s="22"/>
      <c r="F19" s="22"/>
      <c r="G19" s="12"/>
      <c r="H19" s="27"/>
      <c r="I19" s="26"/>
      <c r="J19" s="127"/>
      <c r="K19" s="26"/>
      <c r="L19" s="2"/>
    </row>
    <row r="20" spans="1:12" ht="28">
      <c r="A20" s="8">
        <v>78</v>
      </c>
      <c r="B20" s="106" t="s">
        <v>270</v>
      </c>
      <c r="C20" s="27" t="s">
        <v>41</v>
      </c>
      <c r="D20" s="27">
        <f>D18</f>
        <v>317.32</v>
      </c>
      <c r="E20" s="22"/>
      <c r="F20" s="22">
        <f>E20*D20</f>
        <v>0</v>
      </c>
      <c r="G20" s="106" t="s">
        <v>271</v>
      </c>
      <c r="H20" s="27" t="s">
        <v>51</v>
      </c>
      <c r="I20" s="44">
        <f>1.8*18*D20</f>
        <v>10281.168</v>
      </c>
      <c r="J20" s="127"/>
      <c r="K20" s="26">
        <f t="shared" si="2"/>
        <v>0</v>
      </c>
      <c r="L20" s="2"/>
    </row>
    <row r="21" spans="1:12">
      <c r="A21" s="8"/>
      <c r="B21" s="106"/>
      <c r="C21" s="27"/>
      <c r="D21" s="27"/>
      <c r="E21" s="22"/>
      <c r="F21" s="22"/>
      <c r="G21" s="106"/>
      <c r="H21" s="27"/>
      <c r="I21" s="44"/>
      <c r="J21" s="127"/>
      <c r="K21" s="26"/>
      <c r="L21" s="2"/>
    </row>
    <row r="22" spans="1:12" ht="28">
      <c r="A22" s="8">
        <v>79</v>
      </c>
      <c r="B22" s="12" t="s">
        <v>272</v>
      </c>
      <c r="C22" s="27" t="s">
        <v>41</v>
      </c>
      <c r="D22" s="27">
        <f>D20</f>
        <v>317.32</v>
      </c>
      <c r="E22" s="22"/>
      <c r="F22" s="22">
        <f>E22*D22</f>
        <v>0</v>
      </c>
      <c r="G22" s="106" t="s">
        <v>273</v>
      </c>
      <c r="H22" s="27" t="s">
        <v>51</v>
      </c>
      <c r="I22" s="26">
        <f>0.05*D22</f>
        <v>15.866</v>
      </c>
      <c r="J22" s="127"/>
      <c r="K22" s="26">
        <f t="shared" si="2"/>
        <v>0</v>
      </c>
      <c r="L22" s="2"/>
    </row>
    <row r="23" spans="1:12">
      <c r="A23" s="8"/>
      <c r="B23" s="12"/>
      <c r="C23" s="27"/>
      <c r="D23" s="27"/>
      <c r="E23" s="22"/>
      <c r="F23" s="22"/>
      <c r="G23" s="106"/>
      <c r="H23" s="27"/>
      <c r="I23" s="26"/>
      <c r="J23" s="127"/>
      <c r="K23" s="26"/>
      <c r="L23" s="2"/>
    </row>
    <row r="24" spans="1:12" ht="28">
      <c r="A24" s="8">
        <v>80</v>
      </c>
      <c r="B24" s="179" t="s">
        <v>274</v>
      </c>
      <c r="C24" s="180" t="s">
        <v>41</v>
      </c>
      <c r="D24" s="180">
        <v>4.46</v>
      </c>
      <c r="E24" s="178"/>
      <c r="F24" s="178">
        <f>E24*D24</f>
        <v>0</v>
      </c>
      <c r="G24" s="179" t="s">
        <v>275</v>
      </c>
      <c r="H24" s="180" t="s">
        <v>41</v>
      </c>
      <c r="I24" s="132">
        <v>5.3</v>
      </c>
      <c r="J24" s="182"/>
      <c r="K24" s="132">
        <f>J24*I24</f>
        <v>0</v>
      </c>
      <c r="L24" s="2"/>
    </row>
    <row r="25" spans="1:12" ht="14">
      <c r="A25" s="8"/>
      <c r="B25" s="179"/>
      <c r="C25" s="180"/>
      <c r="D25" s="180"/>
      <c r="E25" s="178"/>
      <c r="F25" s="178"/>
      <c r="G25" s="179" t="s">
        <v>276</v>
      </c>
      <c r="H25" s="180" t="s">
        <v>51</v>
      </c>
      <c r="I25" s="132">
        <f>0.3*D24</f>
        <v>1.3379999999999999</v>
      </c>
      <c r="J25" s="182"/>
      <c r="K25" s="132">
        <f>J25*I25</f>
        <v>0</v>
      </c>
      <c r="L25" s="2"/>
    </row>
    <row r="26" spans="1:12">
      <c r="A26" s="8"/>
      <c r="B26" s="179"/>
      <c r="C26" s="180"/>
      <c r="D26" s="180"/>
      <c r="E26" s="178"/>
      <c r="F26" s="178"/>
      <c r="G26" s="179"/>
      <c r="H26" s="180"/>
      <c r="I26" s="132"/>
      <c r="J26" s="182"/>
      <c r="K26" s="132"/>
      <c r="L26" s="2"/>
    </row>
    <row r="27" spans="1:12" ht="28">
      <c r="A27" s="8">
        <v>81</v>
      </c>
      <c r="B27" s="179" t="s">
        <v>277</v>
      </c>
      <c r="C27" s="180" t="s">
        <v>41</v>
      </c>
      <c r="D27" s="180">
        <v>95.68</v>
      </c>
      <c r="E27" s="178"/>
      <c r="F27" s="178">
        <f>E27*D27</f>
        <v>0</v>
      </c>
      <c r="G27" s="179" t="s">
        <v>276</v>
      </c>
      <c r="H27" s="180" t="s">
        <v>51</v>
      </c>
      <c r="I27" s="132">
        <f>0.3*D27</f>
        <v>28.704000000000001</v>
      </c>
      <c r="J27" s="182"/>
      <c r="K27" s="132">
        <f>J27*I27</f>
        <v>0</v>
      </c>
      <c r="L27" s="2"/>
    </row>
    <row r="28" spans="1:12" ht="28">
      <c r="A28" s="8"/>
      <c r="B28" s="179"/>
      <c r="C28" s="180"/>
      <c r="D28" s="180"/>
      <c r="E28" s="178"/>
      <c r="F28" s="178"/>
      <c r="G28" s="179" t="s">
        <v>278</v>
      </c>
      <c r="H28" s="180" t="s">
        <v>41</v>
      </c>
      <c r="I28" s="132">
        <v>105.6</v>
      </c>
      <c r="J28" s="182"/>
      <c r="K28" s="132">
        <f>J28*I28</f>
        <v>0</v>
      </c>
      <c r="L28" s="2"/>
    </row>
    <row r="29" spans="1:12">
      <c r="A29" s="8"/>
      <c r="B29" s="179"/>
      <c r="C29" s="180"/>
      <c r="D29" s="180"/>
      <c r="E29" s="178"/>
      <c r="F29" s="178"/>
      <c r="G29" s="179"/>
      <c r="H29" s="180"/>
      <c r="I29" s="132"/>
      <c r="J29" s="182"/>
      <c r="K29" s="132"/>
      <c r="L29" s="2"/>
    </row>
    <row r="30" spans="1:12" ht="42">
      <c r="A30" s="8">
        <v>82</v>
      </c>
      <c r="B30" s="179" t="s">
        <v>279</v>
      </c>
      <c r="C30" s="180" t="s">
        <v>41</v>
      </c>
      <c r="D30" s="180">
        <v>217.18</v>
      </c>
      <c r="E30" s="178"/>
      <c r="F30" s="178">
        <f>E30*D30</f>
        <v>0</v>
      </c>
      <c r="G30" s="179" t="s">
        <v>280</v>
      </c>
      <c r="H30" s="180" t="s">
        <v>41</v>
      </c>
      <c r="I30" s="132">
        <v>109.83</v>
      </c>
      <c r="J30" s="182"/>
      <c r="K30" s="132">
        <f>J30*I30</f>
        <v>0</v>
      </c>
      <c r="L30" s="2"/>
    </row>
    <row r="31" spans="1:12" ht="42">
      <c r="A31" s="8"/>
      <c r="B31" s="179"/>
      <c r="C31" s="180"/>
      <c r="D31" s="180"/>
      <c r="E31" s="178"/>
      <c r="F31" s="178"/>
      <c r="G31" s="179" t="s">
        <v>281</v>
      </c>
      <c r="H31" s="180" t="s">
        <v>41</v>
      </c>
      <c r="I31" s="132">
        <v>118.15</v>
      </c>
      <c r="J31" s="182"/>
      <c r="K31" s="132">
        <f>J31*I31</f>
        <v>0</v>
      </c>
      <c r="L31" s="2"/>
    </row>
    <row r="32" spans="1:12" ht="14">
      <c r="A32" s="8"/>
      <c r="B32" s="179"/>
      <c r="C32" s="180"/>
      <c r="D32" s="180"/>
      <c r="E32" s="178"/>
      <c r="F32" s="178"/>
      <c r="G32" s="179" t="s">
        <v>276</v>
      </c>
      <c r="H32" s="180" t="s">
        <v>51</v>
      </c>
      <c r="I32" s="132">
        <f>0.3*D30</f>
        <v>65.153999999999996</v>
      </c>
      <c r="J32" s="182"/>
      <c r="K32" s="132">
        <f>J32*I32</f>
        <v>0</v>
      </c>
      <c r="L32" s="2"/>
    </row>
    <row r="33" spans="1:12">
      <c r="A33" s="8"/>
      <c r="B33" s="12"/>
      <c r="C33" s="27"/>
      <c r="D33" s="27"/>
      <c r="E33" s="22"/>
      <c r="F33" s="22"/>
      <c r="G33" s="12"/>
      <c r="H33" s="27"/>
      <c r="I33" s="26"/>
      <c r="J33" s="127"/>
      <c r="K33" s="26"/>
      <c r="L33" s="2"/>
    </row>
    <row r="34" spans="1:12" ht="28">
      <c r="A34" s="8">
        <v>83</v>
      </c>
      <c r="B34" s="10" t="s">
        <v>282</v>
      </c>
      <c r="C34" s="67" t="s">
        <v>74</v>
      </c>
      <c r="D34" s="21">
        <v>153.9</v>
      </c>
      <c r="E34" s="22"/>
      <c r="F34" s="22">
        <f>D34*E34</f>
        <v>0</v>
      </c>
      <c r="G34" s="3" t="s">
        <v>283</v>
      </c>
      <c r="H34" s="21" t="s">
        <v>74</v>
      </c>
      <c r="I34" s="4">
        <v>156</v>
      </c>
      <c r="J34" s="4"/>
      <c r="K34" s="44">
        <f t="shared" ref="K34:K35" si="3">J34*I34</f>
        <v>0</v>
      </c>
      <c r="L34" s="2"/>
    </row>
    <row r="35" spans="1:12" ht="14">
      <c r="A35" s="8"/>
      <c r="B35" s="3"/>
      <c r="C35" s="62"/>
      <c r="D35" s="24"/>
      <c r="E35" s="22"/>
      <c r="F35" s="22"/>
      <c r="G35" s="106" t="s">
        <v>284</v>
      </c>
      <c r="H35" s="21" t="s">
        <v>48</v>
      </c>
      <c r="I35" s="45">
        <v>32</v>
      </c>
      <c r="J35" s="4"/>
      <c r="K35" s="44">
        <f t="shared" si="3"/>
        <v>0</v>
      </c>
      <c r="L35" s="2"/>
    </row>
    <row r="36" spans="1:12">
      <c r="A36" s="8"/>
      <c r="B36" s="3"/>
      <c r="C36" s="62"/>
      <c r="D36" s="24"/>
      <c r="E36" s="22"/>
      <c r="F36" s="22"/>
      <c r="G36" s="12"/>
      <c r="H36" s="49"/>
      <c r="I36" s="46"/>
      <c r="J36" s="127"/>
      <c r="K36" s="26"/>
      <c r="L36" s="2"/>
    </row>
    <row r="37" spans="1:12" ht="42">
      <c r="A37" s="8">
        <v>84</v>
      </c>
      <c r="B37" s="10" t="s">
        <v>285</v>
      </c>
      <c r="C37" s="67" t="s">
        <v>74</v>
      </c>
      <c r="D37" s="21">
        <v>14.43</v>
      </c>
      <c r="E37" s="22"/>
      <c r="F37" s="22">
        <f>D37*E37</f>
        <v>0</v>
      </c>
      <c r="G37" s="3" t="s">
        <v>286</v>
      </c>
      <c r="H37" s="21" t="s">
        <v>74</v>
      </c>
      <c r="I37" s="4">
        <v>15</v>
      </c>
      <c r="J37" s="182"/>
      <c r="K37" s="44">
        <f t="shared" ref="K37:K42" si="4">J37*I37</f>
        <v>0</v>
      </c>
      <c r="L37" s="2"/>
    </row>
    <row r="38" spans="1:12" ht="14">
      <c r="A38" s="8"/>
      <c r="B38" s="3"/>
      <c r="C38" s="62"/>
      <c r="D38" s="24"/>
      <c r="E38" s="22"/>
      <c r="F38" s="22"/>
      <c r="G38" s="106" t="s">
        <v>287</v>
      </c>
      <c r="H38" s="21" t="s">
        <v>48</v>
      </c>
      <c r="I38" s="45">
        <v>32</v>
      </c>
      <c r="J38" s="4"/>
      <c r="K38" s="44">
        <f t="shared" si="4"/>
        <v>0</v>
      </c>
      <c r="L38" s="2"/>
    </row>
    <row r="39" spans="1:12">
      <c r="A39" s="8"/>
      <c r="B39" s="3"/>
      <c r="C39" s="21"/>
      <c r="D39" s="21"/>
      <c r="E39" s="22"/>
      <c r="F39" s="22"/>
      <c r="G39" s="161" t="s">
        <v>288</v>
      </c>
      <c r="H39" s="25" t="s">
        <v>48</v>
      </c>
      <c r="I39" s="40">
        <v>4</v>
      </c>
      <c r="J39" s="127"/>
      <c r="K39" s="40">
        <f t="shared" si="4"/>
        <v>0</v>
      </c>
      <c r="L39" s="2"/>
    </row>
    <row r="40" spans="1:12">
      <c r="A40" s="8"/>
      <c r="B40" s="3"/>
      <c r="C40" s="21"/>
      <c r="D40" s="21"/>
      <c r="E40" s="22"/>
      <c r="F40" s="22"/>
      <c r="G40" s="161"/>
      <c r="H40" s="25"/>
      <c r="I40" s="40"/>
      <c r="J40" s="127"/>
      <c r="K40" s="40"/>
      <c r="L40" s="2"/>
    </row>
    <row r="41" spans="1:12" ht="28">
      <c r="A41" s="8">
        <v>85</v>
      </c>
      <c r="B41" s="10" t="s">
        <v>289</v>
      </c>
      <c r="C41" s="67" t="s">
        <v>74</v>
      </c>
      <c r="D41" s="21">
        <v>28.27</v>
      </c>
      <c r="E41" s="22"/>
      <c r="F41" s="22">
        <f>D41*E41</f>
        <v>0</v>
      </c>
      <c r="G41" s="12" t="s">
        <v>265</v>
      </c>
      <c r="H41" s="25" t="s">
        <v>41</v>
      </c>
      <c r="I41" s="40">
        <v>2.88</v>
      </c>
      <c r="J41" s="127"/>
      <c r="K41" s="40">
        <f t="shared" si="4"/>
        <v>0</v>
      </c>
      <c r="L41" s="2"/>
    </row>
    <row r="42" spans="1:12" ht="28">
      <c r="A42" s="8"/>
      <c r="B42" s="3"/>
      <c r="C42" s="21"/>
      <c r="D42" s="21"/>
      <c r="E42" s="22"/>
      <c r="F42" s="22"/>
      <c r="G42" s="12" t="s">
        <v>268</v>
      </c>
      <c r="H42" s="25" t="s">
        <v>41</v>
      </c>
      <c r="I42" s="40">
        <v>7.56</v>
      </c>
      <c r="J42" s="127"/>
      <c r="K42" s="40">
        <f t="shared" si="4"/>
        <v>0</v>
      </c>
      <c r="L42" s="2"/>
    </row>
    <row r="45" spans="1:12">
      <c r="E45" t="s">
        <v>150</v>
      </c>
      <c r="F45" s="253">
        <f>SUM(F3:F42)</f>
        <v>0</v>
      </c>
      <c r="J45" t="s">
        <v>151</v>
      </c>
      <c r="K45" s="253">
        <f>SUM(K3:K42)</f>
        <v>0</v>
      </c>
    </row>
  </sheetData>
  <sheetProtection algorithmName="SHA-512" hashValue="Jj8nZJeZZoQ+0BwedbZtQTm3Ou691c+EP3beUq0RKUhWL/GDhoxeUzcfX0UiPAUDvN0GsHLm3yflop67EDXp+w==" saltValue="0NndLc3ETLE5yzzfo1ZyPA==" spinCount="100000" sheet="1" objects="1" scenarios="1"/>
  <protectedRanges>
    <protectedRange sqref="J3:J42" name="Materials"/>
    <protectedRange sqref="E3:E42" name="Works"/>
  </protectedRanges>
  <mergeCells count="7">
    <mergeCell ref="L1:L2"/>
    <mergeCell ref="A1:A2"/>
    <mergeCell ref="B1:B2"/>
    <mergeCell ref="C1:C2"/>
    <mergeCell ref="D1:D2"/>
    <mergeCell ref="E1:F1"/>
    <mergeCell ref="G1:K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86"/>
  <sheetViews>
    <sheetView workbookViewId="0">
      <selection activeCell="K10" sqref="K10"/>
    </sheetView>
  </sheetViews>
  <sheetFormatPr baseColWidth="10" defaultColWidth="8.83203125" defaultRowHeight="13"/>
  <cols>
    <col min="2" max="2" width="42" customWidth="1"/>
    <col min="6" max="6" width="14.83203125" customWidth="1"/>
    <col min="7" max="7" width="34" customWidth="1"/>
    <col min="11" max="11" width="16.33203125" customWidth="1"/>
  </cols>
  <sheetData>
    <row r="1" spans="1:12">
      <c r="A1" s="285" t="s">
        <v>24</v>
      </c>
      <c r="B1" s="287" t="s">
        <v>25</v>
      </c>
      <c r="C1" s="288" t="s">
        <v>26</v>
      </c>
      <c r="D1" s="288" t="s">
        <v>27</v>
      </c>
      <c r="E1" s="289" t="s">
        <v>28</v>
      </c>
      <c r="F1" s="289"/>
      <c r="G1" s="290" t="s">
        <v>29</v>
      </c>
      <c r="H1" s="290"/>
      <c r="I1" s="290"/>
      <c r="J1" s="290"/>
      <c r="K1" s="290"/>
      <c r="L1" s="284" t="s">
        <v>30</v>
      </c>
    </row>
    <row r="2" spans="1:12" ht="28">
      <c r="A2" s="286"/>
      <c r="B2" s="287"/>
      <c r="C2" s="288"/>
      <c r="D2" s="288"/>
      <c r="E2" s="40" t="s">
        <v>31</v>
      </c>
      <c r="F2" s="40" t="s">
        <v>32</v>
      </c>
      <c r="G2" s="258" t="s">
        <v>33</v>
      </c>
      <c r="H2" s="259" t="s">
        <v>26</v>
      </c>
      <c r="I2" s="259" t="s">
        <v>27</v>
      </c>
      <c r="J2" s="40" t="s">
        <v>31</v>
      </c>
      <c r="K2" s="40" t="s">
        <v>32</v>
      </c>
      <c r="L2" s="284"/>
    </row>
    <row r="3" spans="1:12" ht="14">
      <c r="A3" s="8"/>
      <c r="B3" s="18" t="s">
        <v>9</v>
      </c>
      <c r="C3" s="21"/>
      <c r="D3" s="21"/>
      <c r="E3" s="22"/>
      <c r="F3" s="22"/>
      <c r="G3" s="161"/>
      <c r="H3" s="25"/>
      <c r="I3" s="40"/>
      <c r="J3" s="127"/>
      <c r="K3" s="40"/>
      <c r="L3" s="2"/>
    </row>
    <row r="4" spans="1:12" ht="14">
      <c r="A4" s="8"/>
      <c r="B4" s="6" t="s">
        <v>290</v>
      </c>
      <c r="C4" s="21"/>
      <c r="D4" s="21"/>
      <c r="E4" s="22"/>
      <c r="F4" s="22"/>
      <c r="G4" s="3" t="s">
        <v>290</v>
      </c>
      <c r="H4" s="25"/>
      <c r="I4" s="40"/>
      <c r="J4" s="127"/>
      <c r="K4" s="40"/>
      <c r="L4" s="2"/>
    </row>
    <row r="5" spans="1:12" ht="14">
      <c r="A5" s="11"/>
      <c r="B5" s="105" t="s">
        <v>291</v>
      </c>
      <c r="C5" s="68" t="s">
        <v>48</v>
      </c>
      <c r="D5" s="28">
        <v>14</v>
      </c>
      <c r="E5" s="54"/>
      <c r="F5" s="55">
        <f>D5*E5</f>
        <v>0</v>
      </c>
      <c r="G5" s="161" t="s">
        <v>292</v>
      </c>
      <c r="H5" s="25" t="s">
        <v>74</v>
      </c>
      <c r="I5" s="40">
        <v>40</v>
      </c>
      <c r="J5" s="127"/>
      <c r="K5" s="40">
        <f>J5*I5</f>
        <v>0</v>
      </c>
      <c r="L5" s="2"/>
    </row>
    <row r="6" spans="1:12" ht="14">
      <c r="A6" s="11"/>
      <c r="B6" s="105" t="s">
        <v>293</v>
      </c>
      <c r="C6" s="68" t="s">
        <v>48</v>
      </c>
      <c r="D6" s="28">
        <v>5</v>
      </c>
      <c r="E6" s="54"/>
      <c r="F6" s="55">
        <f t="shared" ref="F6:F16" si="0">D6*E6</f>
        <v>0</v>
      </c>
      <c r="G6" s="161" t="s">
        <v>294</v>
      </c>
      <c r="H6" s="25" t="s">
        <v>74</v>
      </c>
      <c r="I6" s="40">
        <v>20</v>
      </c>
      <c r="J6" s="127"/>
      <c r="K6" s="40">
        <f t="shared" ref="K6:K82" si="1">J6*I6</f>
        <v>0</v>
      </c>
      <c r="L6" s="2"/>
    </row>
    <row r="7" spans="1:12" ht="14">
      <c r="A7" s="11"/>
      <c r="B7" s="105" t="s">
        <v>295</v>
      </c>
      <c r="C7" s="68" t="s">
        <v>48</v>
      </c>
      <c r="D7" s="28">
        <v>5</v>
      </c>
      <c r="E7" s="54"/>
      <c r="F7" s="55">
        <f t="shared" si="0"/>
        <v>0</v>
      </c>
      <c r="G7" s="161" t="s">
        <v>296</v>
      </c>
      <c r="H7" s="25" t="s">
        <v>74</v>
      </c>
      <c r="I7" s="40">
        <v>3</v>
      </c>
      <c r="J7" s="127"/>
      <c r="K7" s="40">
        <f t="shared" si="1"/>
        <v>0</v>
      </c>
      <c r="L7" s="2"/>
    </row>
    <row r="8" spans="1:12" ht="14">
      <c r="A8" s="11"/>
      <c r="B8" s="105" t="s">
        <v>297</v>
      </c>
      <c r="C8" s="68" t="s">
        <v>48</v>
      </c>
      <c r="D8" s="28">
        <v>5</v>
      </c>
      <c r="E8" s="54"/>
      <c r="F8" s="55">
        <f t="shared" si="0"/>
        <v>0</v>
      </c>
      <c r="G8" s="161" t="s">
        <v>298</v>
      </c>
      <c r="H8" s="25" t="s">
        <v>74</v>
      </c>
      <c r="I8" s="40">
        <v>20</v>
      </c>
      <c r="J8" s="127"/>
      <c r="K8" s="40">
        <f t="shared" si="1"/>
        <v>0</v>
      </c>
      <c r="L8" s="2"/>
    </row>
    <row r="9" spans="1:12" ht="14">
      <c r="A9" s="11"/>
      <c r="B9" s="105" t="s">
        <v>299</v>
      </c>
      <c r="C9" s="68" t="s">
        <v>48</v>
      </c>
      <c r="D9" s="28">
        <v>5</v>
      </c>
      <c r="E9" s="54"/>
      <c r="F9" s="55">
        <f>D9*E9</f>
        <v>0</v>
      </c>
      <c r="G9" s="161" t="s">
        <v>300</v>
      </c>
      <c r="H9" s="25" t="s">
        <v>74</v>
      </c>
      <c r="I9" s="40">
        <v>20</v>
      </c>
      <c r="J9" s="127"/>
      <c r="K9" s="40">
        <f t="shared" si="1"/>
        <v>0</v>
      </c>
      <c r="L9" s="2"/>
    </row>
    <row r="10" spans="1:12" ht="14">
      <c r="A10" s="11"/>
      <c r="B10" s="105" t="s">
        <v>301</v>
      </c>
      <c r="C10" s="68" t="s">
        <v>48</v>
      </c>
      <c r="D10" s="28">
        <v>1</v>
      </c>
      <c r="E10" s="54"/>
      <c r="F10" s="55">
        <f t="shared" si="0"/>
        <v>0</v>
      </c>
      <c r="G10" s="161" t="s">
        <v>302</v>
      </c>
      <c r="H10" s="25" t="s">
        <v>74</v>
      </c>
      <c r="I10" s="40">
        <v>10</v>
      </c>
      <c r="J10" s="127"/>
      <c r="K10" s="40">
        <f t="shared" si="1"/>
        <v>0</v>
      </c>
      <c r="L10" s="2"/>
    </row>
    <row r="11" spans="1:12" ht="42">
      <c r="A11" s="11"/>
      <c r="B11" s="105" t="s">
        <v>303</v>
      </c>
      <c r="C11" s="68" t="s">
        <v>48</v>
      </c>
      <c r="D11" s="28">
        <v>1</v>
      </c>
      <c r="E11" s="54"/>
      <c r="F11" s="55">
        <f t="shared" si="0"/>
        <v>0</v>
      </c>
      <c r="G11" s="161" t="s">
        <v>304</v>
      </c>
      <c r="H11" s="25" t="s">
        <v>74</v>
      </c>
      <c r="I11" s="40">
        <v>10</v>
      </c>
      <c r="J11" s="127"/>
      <c r="K11" s="40">
        <f t="shared" si="1"/>
        <v>0</v>
      </c>
      <c r="L11" s="2"/>
    </row>
    <row r="12" spans="1:12" ht="14">
      <c r="A12" s="11"/>
      <c r="B12" s="105" t="s">
        <v>305</v>
      </c>
      <c r="C12" s="68" t="s">
        <v>48</v>
      </c>
      <c r="D12" s="28">
        <v>1</v>
      </c>
      <c r="E12" s="54"/>
      <c r="F12" s="55">
        <f t="shared" si="0"/>
        <v>0</v>
      </c>
      <c r="G12" s="161" t="s">
        <v>306</v>
      </c>
      <c r="H12" s="25" t="s">
        <v>74</v>
      </c>
      <c r="I12" s="40">
        <v>2</v>
      </c>
      <c r="J12" s="127"/>
      <c r="K12" s="40">
        <f t="shared" si="1"/>
        <v>0</v>
      </c>
      <c r="L12" s="2"/>
    </row>
    <row r="13" spans="1:12" ht="14">
      <c r="A13" s="11"/>
      <c r="B13" s="105" t="s">
        <v>307</v>
      </c>
      <c r="C13" s="68" t="s">
        <v>48</v>
      </c>
      <c r="D13" s="28">
        <v>1</v>
      </c>
      <c r="E13" s="54"/>
      <c r="F13" s="55">
        <f t="shared" si="0"/>
        <v>0</v>
      </c>
      <c r="G13" s="161" t="s">
        <v>308</v>
      </c>
      <c r="H13" s="25" t="s">
        <v>74</v>
      </c>
      <c r="I13" s="40">
        <v>2</v>
      </c>
      <c r="J13" s="127"/>
      <c r="K13" s="40">
        <f t="shared" si="1"/>
        <v>0</v>
      </c>
      <c r="L13" s="2"/>
    </row>
    <row r="14" spans="1:12" ht="28">
      <c r="A14" s="11"/>
      <c r="B14" s="105" t="s">
        <v>309</v>
      </c>
      <c r="C14" s="68" t="s">
        <v>48</v>
      </c>
      <c r="D14" s="28">
        <v>13</v>
      </c>
      <c r="E14" s="54"/>
      <c r="F14" s="55">
        <f t="shared" si="0"/>
        <v>0</v>
      </c>
      <c r="G14" s="12" t="s">
        <v>310</v>
      </c>
      <c r="H14" s="25" t="s">
        <v>48</v>
      </c>
      <c r="I14" s="40">
        <v>20</v>
      </c>
      <c r="J14" s="127"/>
      <c r="K14" s="40">
        <f t="shared" si="1"/>
        <v>0</v>
      </c>
      <c r="L14" s="2"/>
    </row>
    <row r="15" spans="1:12" ht="28">
      <c r="A15" s="11"/>
      <c r="B15" s="105" t="s">
        <v>311</v>
      </c>
      <c r="C15" s="68" t="s">
        <v>48</v>
      </c>
      <c r="D15" s="28">
        <v>13</v>
      </c>
      <c r="E15" s="54"/>
      <c r="F15" s="55">
        <f t="shared" si="0"/>
        <v>0</v>
      </c>
      <c r="G15" s="12" t="s">
        <v>312</v>
      </c>
      <c r="H15" s="25" t="s">
        <v>48</v>
      </c>
      <c r="I15" s="40">
        <v>20</v>
      </c>
      <c r="J15" s="127"/>
      <c r="K15" s="40">
        <f t="shared" si="1"/>
        <v>0</v>
      </c>
      <c r="L15" s="2"/>
    </row>
    <row r="16" spans="1:12" ht="14">
      <c r="A16" s="11"/>
      <c r="B16" s="105" t="s">
        <v>313</v>
      </c>
      <c r="C16" s="69" t="s">
        <v>48</v>
      </c>
      <c r="D16" s="29">
        <v>1</v>
      </c>
      <c r="E16" s="55"/>
      <c r="F16" s="55">
        <f t="shared" si="0"/>
        <v>0</v>
      </c>
      <c r="G16" s="161" t="s">
        <v>314</v>
      </c>
      <c r="H16" s="25" t="s">
        <v>48</v>
      </c>
      <c r="I16" s="40">
        <v>10</v>
      </c>
      <c r="J16" s="127"/>
      <c r="K16" s="40">
        <f t="shared" si="1"/>
        <v>0</v>
      </c>
      <c r="L16" s="2"/>
    </row>
    <row r="17" spans="1:12">
      <c r="A17" s="11"/>
      <c r="B17" s="3"/>
      <c r="C17" s="21"/>
      <c r="D17" s="21"/>
      <c r="E17" s="22"/>
      <c r="F17" s="22"/>
      <c r="G17" s="161" t="s">
        <v>315</v>
      </c>
      <c r="H17" s="25" t="s">
        <v>48</v>
      </c>
      <c r="I17" s="40">
        <v>3</v>
      </c>
      <c r="J17" s="127"/>
      <c r="K17" s="40">
        <f t="shared" si="1"/>
        <v>0</v>
      </c>
      <c r="L17" s="2"/>
    </row>
    <row r="18" spans="1:12">
      <c r="A18" s="8"/>
      <c r="B18" s="3"/>
      <c r="C18" s="21"/>
      <c r="D18" s="21"/>
      <c r="E18" s="22"/>
      <c r="F18" s="22"/>
      <c r="G18" s="161" t="s">
        <v>316</v>
      </c>
      <c r="H18" s="25" t="s">
        <v>48</v>
      </c>
      <c r="I18" s="40">
        <v>1</v>
      </c>
      <c r="J18" s="127"/>
      <c r="K18" s="40">
        <f t="shared" si="1"/>
        <v>0</v>
      </c>
      <c r="L18" s="2"/>
    </row>
    <row r="19" spans="1:12">
      <c r="A19" s="8"/>
      <c r="B19" s="3"/>
      <c r="C19" s="21"/>
      <c r="D19" s="21"/>
      <c r="E19" s="22"/>
      <c r="F19" s="22"/>
      <c r="G19" s="161" t="s">
        <v>317</v>
      </c>
      <c r="H19" s="25" t="s">
        <v>48</v>
      </c>
      <c r="I19" s="40">
        <v>5</v>
      </c>
      <c r="J19" s="127"/>
      <c r="K19" s="40">
        <f t="shared" si="1"/>
        <v>0</v>
      </c>
      <c r="L19" s="2"/>
    </row>
    <row r="20" spans="1:12">
      <c r="A20" s="8"/>
      <c r="B20" s="3"/>
      <c r="C20" s="21"/>
      <c r="D20" s="21"/>
      <c r="E20" s="22"/>
      <c r="F20" s="22"/>
      <c r="G20" s="161" t="s">
        <v>318</v>
      </c>
      <c r="H20" s="25" t="s">
        <v>48</v>
      </c>
      <c r="I20" s="40">
        <v>4</v>
      </c>
      <c r="J20" s="127"/>
      <c r="K20" s="40">
        <f t="shared" si="1"/>
        <v>0</v>
      </c>
      <c r="L20" s="2"/>
    </row>
    <row r="21" spans="1:12">
      <c r="A21" s="8"/>
      <c r="B21" s="3"/>
      <c r="C21" s="21"/>
      <c r="D21" s="21"/>
      <c r="E21" s="22"/>
      <c r="F21" s="22"/>
      <c r="G21" s="161" t="s">
        <v>319</v>
      </c>
      <c r="H21" s="25" t="s">
        <v>48</v>
      </c>
      <c r="I21" s="40">
        <v>4</v>
      </c>
      <c r="J21" s="127"/>
      <c r="K21" s="40">
        <f t="shared" si="1"/>
        <v>0</v>
      </c>
      <c r="L21" s="2"/>
    </row>
    <row r="22" spans="1:12">
      <c r="A22" s="8"/>
      <c r="B22" s="3"/>
      <c r="C22" s="21"/>
      <c r="D22" s="21"/>
      <c r="E22" s="22"/>
      <c r="F22" s="22"/>
      <c r="G22" s="161" t="s">
        <v>320</v>
      </c>
      <c r="H22" s="25" t="s">
        <v>48</v>
      </c>
      <c r="I22" s="40">
        <v>1</v>
      </c>
      <c r="J22" s="127"/>
      <c r="K22" s="40">
        <f t="shared" si="1"/>
        <v>0</v>
      </c>
      <c r="L22" s="2"/>
    </row>
    <row r="23" spans="1:12">
      <c r="A23" s="8"/>
      <c r="B23" s="3"/>
      <c r="C23" s="21"/>
      <c r="D23" s="21"/>
      <c r="E23" s="22"/>
      <c r="F23" s="22"/>
      <c r="G23" s="161" t="s">
        <v>321</v>
      </c>
      <c r="H23" s="25" t="s">
        <v>48</v>
      </c>
      <c r="I23" s="40">
        <v>2</v>
      </c>
      <c r="J23" s="127"/>
      <c r="K23" s="40">
        <f t="shared" si="1"/>
        <v>0</v>
      </c>
      <c r="L23" s="2"/>
    </row>
    <row r="24" spans="1:12">
      <c r="A24" s="8"/>
      <c r="B24" s="3"/>
      <c r="C24" s="21"/>
      <c r="D24" s="21"/>
      <c r="E24" s="22"/>
      <c r="F24" s="22"/>
      <c r="G24" s="161" t="s">
        <v>322</v>
      </c>
      <c r="H24" s="25" t="s">
        <v>48</v>
      </c>
      <c r="I24" s="40">
        <v>1</v>
      </c>
      <c r="J24" s="127"/>
      <c r="K24" s="40">
        <f t="shared" si="1"/>
        <v>0</v>
      </c>
      <c r="L24" s="2"/>
    </row>
    <row r="25" spans="1:12">
      <c r="A25" s="8"/>
      <c r="B25" s="3"/>
      <c r="C25" s="21"/>
      <c r="D25" s="21"/>
      <c r="E25" s="22"/>
      <c r="F25" s="22"/>
      <c r="G25" s="161" t="s">
        <v>323</v>
      </c>
      <c r="H25" s="25" t="s">
        <v>48</v>
      </c>
      <c r="I25" s="40">
        <v>2</v>
      </c>
      <c r="J25" s="127"/>
      <c r="K25" s="40">
        <f t="shared" si="1"/>
        <v>0</v>
      </c>
      <c r="L25" s="2"/>
    </row>
    <row r="26" spans="1:12" ht="28">
      <c r="A26" s="8"/>
      <c r="B26" s="3"/>
      <c r="C26" s="21"/>
      <c r="D26" s="21"/>
      <c r="E26" s="22"/>
      <c r="F26" s="22"/>
      <c r="G26" s="12" t="s">
        <v>324</v>
      </c>
      <c r="H26" s="25" t="s">
        <v>48</v>
      </c>
      <c r="I26" s="40">
        <v>1</v>
      </c>
      <c r="J26" s="127"/>
      <c r="K26" s="40">
        <f t="shared" si="1"/>
        <v>0</v>
      </c>
      <c r="L26" s="2"/>
    </row>
    <row r="27" spans="1:12">
      <c r="A27" s="8"/>
      <c r="B27" s="3"/>
      <c r="C27" s="21"/>
      <c r="D27" s="21"/>
      <c r="E27" s="22"/>
      <c r="F27" s="22"/>
      <c r="G27" s="161" t="s">
        <v>325</v>
      </c>
      <c r="H27" s="25" t="s">
        <v>48</v>
      </c>
      <c r="I27" s="40">
        <v>71</v>
      </c>
      <c r="J27" s="127"/>
      <c r="K27" s="40">
        <f t="shared" si="1"/>
        <v>0</v>
      </c>
      <c r="L27" s="2"/>
    </row>
    <row r="28" spans="1:12">
      <c r="A28" s="8"/>
      <c r="B28" s="3"/>
      <c r="C28" s="21"/>
      <c r="D28" s="21"/>
      <c r="E28" s="22"/>
      <c r="F28" s="22"/>
      <c r="G28" s="161" t="s">
        <v>326</v>
      </c>
      <c r="H28" s="25" t="s">
        <v>48</v>
      </c>
      <c r="I28" s="40">
        <v>3</v>
      </c>
      <c r="J28" s="127"/>
      <c r="K28" s="40">
        <f t="shared" si="1"/>
        <v>0</v>
      </c>
      <c r="L28" s="2"/>
    </row>
    <row r="29" spans="1:12" ht="14">
      <c r="A29" s="8"/>
      <c r="B29" s="3"/>
      <c r="C29" s="21"/>
      <c r="D29" s="21"/>
      <c r="E29" s="22"/>
      <c r="F29" s="22"/>
      <c r="G29" s="12" t="s">
        <v>327</v>
      </c>
      <c r="H29" s="25" t="s">
        <v>48</v>
      </c>
      <c r="I29" s="40">
        <v>6</v>
      </c>
      <c r="J29" s="127"/>
      <c r="K29" s="40">
        <f t="shared" si="1"/>
        <v>0</v>
      </c>
      <c r="L29" s="2"/>
    </row>
    <row r="30" spans="1:12">
      <c r="A30" s="8"/>
      <c r="B30" s="3"/>
      <c r="C30" s="21"/>
      <c r="D30" s="21"/>
      <c r="E30" s="22"/>
      <c r="F30" s="22"/>
      <c r="G30" s="161" t="s">
        <v>328</v>
      </c>
      <c r="H30" s="25" t="s">
        <v>48</v>
      </c>
      <c r="I30" s="40">
        <v>6</v>
      </c>
      <c r="J30" s="127"/>
      <c r="K30" s="40">
        <f t="shared" si="1"/>
        <v>0</v>
      </c>
      <c r="L30" s="2"/>
    </row>
    <row r="31" spans="1:12" ht="28">
      <c r="A31" s="8"/>
      <c r="B31" s="3"/>
      <c r="C31" s="21"/>
      <c r="D31" s="21"/>
      <c r="E31" s="22"/>
      <c r="F31" s="22"/>
      <c r="G31" s="12" t="s">
        <v>329</v>
      </c>
      <c r="H31" s="25" t="s">
        <v>48</v>
      </c>
      <c r="I31" s="40">
        <v>7</v>
      </c>
      <c r="J31" s="127"/>
      <c r="K31" s="40">
        <f t="shared" si="1"/>
        <v>0</v>
      </c>
      <c r="L31" s="2"/>
    </row>
    <row r="32" spans="1:12" ht="28">
      <c r="A32" s="8"/>
      <c r="B32" s="3"/>
      <c r="C32" s="21"/>
      <c r="D32" s="21"/>
      <c r="E32" s="22"/>
      <c r="F32" s="22"/>
      <c r="G32" s="12" t="s">
        <v>330</v>
      </c>
      <c r="H32" s="25" t="s">
        <v>48</v>
      </c>
      <c r="I32" s="40">
        <v>1</v>
      </c>
      <c r="J32" s="127"/>
      <c r="K32" s="40">
        <f t="shared" si="1"/>
        <v>0</v>
      </c>
      <c r="L32" s="2"/>
    </row>
    <row r="33" spans="1:12">
      <c r="A33" s="8"/>
      <c r="B33" s="3"/>
      <c r="C33" s="21"/>
      <c r="D33" s="21"/>
      <c r="E33" s="22"/>
      <c r="F33" s="22"/>
      <c r="G33" s="161" t="s">
        <v>331</v>
      </c>
      <c r="H33" s="25" t="s">
        <v>48</v>
      </c>
      <c r="I33" s="40">
        <v>18</v>
      </c>
      <c r="J33" s="127"/>
      <c r="K33" s="40">
        <f t="shared" si="1"/>
        <v>0</v>
      </c>
      <c r="L33" s="2"/>
    </row>
    <row r="34" spans="1:12">
      <c r="A34" s="8"/>
      <c r="B34" s="3"/>
      <c r="C34" s="21"/>
      <c r="D34" s="21"/>
      <c r="E34" s="22"/>
      <c r="F34" s="22"/>
      <c r="G34" s="161" t="s">
        <v>332</v>
      </c>
      <c r="H34" s="25" t="s">
        <v>48</v>
      </c>
      <c r="I34" s="40">
        <v>13</v>
      </c>
      <c r="J34" s="127"/>
      <c r="K34" s="40">
        <f t="shared" si="1"/>
        <v>0</v>
      </c>
      <c r="L34" s="2"/>
    </row>
    <row r="35" spans="1:12" ht="14">
      <c r="A35" s="8"/>
      <c r="B35" s="3"/>
      <c r="C35" s="21"/>
      <c r="D35" s="21"/>
      <c r="E35" s="22"/>
      <c r="F35" s="22"/>
      <c r="G35" s="12" t="s">
        <v>333</v>
      </c>
      <c r="H35" s="25" t="s">
        <v>48</v>
      </c>
      <c r="I35" s="40">
        <v>9</v>
      </c>
      <c r="J35" s="127"/>
      <c r="K35" s="40">
        <f t="shared" si="1"/>
        <v>0</v>
      </c>
      <c r="L35" s="2"/>
    </row>
    <row r="36" spans="1:12">
      <c r="A36" s="8"/>
      <c r="B36" s="3"/>
      <c r="C36" s="21"/>
      <c r="D36" s="21"/>
      <c r="E36" s="22"/>
      <c r="F36" s="22"/>
      <c r="G36" s="161" t="s">
        <v>334</v>
      </c>
      <c r="H36" s="25" t="s">
        <v>48</v>
      </c>
      <c r="I36" s="40">
        <v>7</v>
      </c>
      <c r="J36" s="127"/>
      <c r="K36" s="40">
        <f t="shared" si="1"/>
        <v>0</v>
      </c>
      <c r="L36" s="2"/>
    </row>
    <row r="37" spans="1:12">
      <c r="A37" s="8"/>
      <c r="B37" s="3"/>
      <c r="C37" s="21"/>
      <c r="D37" s="21"/>
      <c r="E37" s="22"/>
      <c r="F37" s="22"/>
      <c r="G37" s="161" t="s">
        <v>335</v>
      </c>
      <c r="H37" s="25" t="s">
        <v>48</v>
      </c>
      <c r="I37" s="40">
        <v>8</v>
      </c>
      <c r="J37" s="127"/>
      <c r="K37" s="40">
        <f t="shared" si="1"/>
        <v>0</v>
      </c>
      <c r="L37" s="2"/>
    </row>
    <row r="38" spans="1:12">
      <c r="A38" s="8"/>
      <c r="B38" s="3"/>
      <c r="C38" s="21"/>
      <c r="D38" s="21"/>
      <c r="E38" s="22"/>
      <c r="F38" s="22"/>
      <c r="G38" s="161" t="s">
        <v>336</v>
      </c>
      <c r="H38" s="25" t="s">
        <v>48</v>
      </c>
      <c r="I38" s="40">
        <v>4</v>
      </c>
      <c r="J38" s="127"/>
      <c r="K38" s="40">
        <f t="shared" si="1"/>
        <v>0</v>
      </c>
      <c r="L38" s="2"/>
    </row>
    <row r="39" spans="1:12">
      <c r="A39" s="8"/>
      <c r="B39" s="3"/>
      <c r="C39" s="21"/>
      <c r="D39" s="21"/>
      <c r="E39" s="22"/>
      <c r="F39" s="22"/>
      <c r="G39" s="161" t="s">
        <v>337</v>
      </c>
      <c r="H39" s="25" t="s">
        <v>48</v>
      </c>
      <c r="I39" s="40">
        <v>5</v>
      </c>
      <c r="J39" s="127"/>
      <c r="K39" s="40">
        <f t="shared" si="1"/>
        <v>0</v>
      </c>
      <c r="L39" s="2"/>
    </row>
    <row r="40" spans="1:12">
      <c r="A40" s="8"/>
      <c r="B40" s="3"/>
      <c r="C40" s="21"/>
      <c r="D40" s="21"/>
      <c r="E40" s="22"/>
      <c r="F40" s="22"/>
      <c r="G40" s="161" t="s">
        <v>338</v>
      </c>
      <c r="H40" s="25" t="s">
        <v>48</v>
      </c>
      <c r="I40" s="40">
        <v>5</v>
      </c>
      <c r="J40" s="127"/>
      <c r="K40" s="40">
        <f t="shared" si="1"/>
        <v>0</v>
      </c>
      <c r="L40" s="2"/>
    </row>
    <row r="41" spans="1:12">
      <c r="A41" s="8"/>
      <c r="B41" s="3"/>
      <c r="C41" s="21"/>
      <c r="D41" s="21"/>
      <c r="E41" s="22"/>
      <c r="F41" s="22"/>
      <c r="G41" s="161" t="s">
        <v>339</v>
      </c>
      <c r="H41" s="25" t="s">
        <v>48</v>
      </c>
      <c r="I41" s="40">
        <v>2</v>
      </c>
      <c r="J41" s="127"/>
      <c r="K41" s="40">
        <f t="shared" si="1"/>
        <v>0</v>
      </c>
      <c r="L41" s="2"/>
    </row>
    <row r="42" spans="1:12">
      <c r="A42" s="8"/>
      <c r="B42" s="3"/>
      <c r="C42" s="21"/>
      <c r="D42" s="21"/>
      <c r="E42" s="22"/>
      <c r="F42" s="22"/>
      <c r="G42" s="161" t="s">
        <v>340</v>
      </c>
      <c r="H42" s="25" t="s">
        <v>48</v>
      </c>
      <c r="I42" s="40">
        <v>3</v>
      </c>
      <c r="J42" s="127"/>
      <c r="K42" s="40">
        <f t="shared" si="1"/>
        <v>0</v>
      </c>
      <c r="L42" s="2"/>
    </row>
    <row r="43" spans="1:12">
      <c r="A43" s="8"/>
      <c r="B43" s="3"/>
      <c r="C43" s="21"/>
      <c r="D43" s="21"/>
      <c r="E43" s="22"/>
      <c r="F43" s="22"/>
      <c r="G43" s="161" t="s">
        <v>341</v>
      </c>
      <c r="H43" s="25" t="s">
        <v>48</v>
      </c>
      <c r="I43" s="40">
        <v>1</v>
      </c>
      <c r="J43" s="127"/>
      <c r="K43" s="40">
        <f t="shared" si="1"/>
        <v>0</v>
      </c>
      <c r="L43" s="2"/>
    </row>
    <row r="44" spans="1:12" ht="56">
      <c r="A44" s="8"/>
      <c r="B44" s="3"/>
      <c r="C44" s="21"/>
      <c r="D44" s="21"/>
      <c r="E44" s="22"/>
      <c r="F44" s="22"/>
      <c r="G44" s="12" t="s">
        <v>342</v>
      </c>
      <c r="H44" s="25" t="s">
        <v>48</v>
      </c>
      <c r="I44" s="40">
        <v>1</v>
      </c>
      <c r="J44" s="127"/>
      <c r="K44" s="40">
        <f t="shared" si="1"/>
        <v>0</v>
      </c>
      <c r="L44" s="2"/>
    </row>
    <row r="45" spans="1:12">
      <c r="A45" s="8"/>
      <c r="B45" s="3"/>
      <c r="C45" s="21"/>
      <c r="D45" s="21"/>
      <c r="E45" s="22"/>
      <c r="F45" s="22"/>
      <c r="G45" s="161" t="s">
        <v>343</v>
      </c>
      <c r="H45" s="25" t="s">
        <v>48</v>
      </c>
      <c r="I45" s="40">
        <v>7</v>
      </c>
      <c r="J45" s="127"/>
      <c r="K45" s="40">
        <f t="shared" si="1"/>
        <v>0</v>
      </c>
      <c r="L45" s="2"/>
    </row>
    <row r="46" spans="1:12">
      <c r="A46" s="8"/>
      <c r="B46" s="3"/>
      <c r="C46" s="21"/>
      <c r="D46" s="21"/>
      <c r="E46" s="22"/>
      <c r="F46" s="22"/>
      <c r="G46" s="161" t="s">
        <v>344</v>
      </c>
      <c r="H46" s="25" t="s">
        <v>48</v>
      </c>
      <c r="I46" s="40">
        <v>5</v>
      </c>
      <c r="J46" s="127"/>
      <c r="K46" s="40">
        <f>J46*I46</f>
        <v>0</v>
      </c>
      <c r="L46" s="2"/>
    </row>
    <row r="47" spans="1:12">
      <c r="A47" s="8"/>
      <c r="B47" s="3"/>
      <c r="C47" s="21"/>
      <c r="D47" s="21"/>
      <c r="E47" s="22"/>
      <c r="F47" s="22"/>
      <c r="G47" s="161" t="s">
        <v>345</v>
      </c>
      <c r="H47" s="25" t="s">
        <v>48</v>
      </c>
      <c r="I47" s="40">
        <v>12</v>
      </c>
      <c r="J47" s="127"/>
      <c r="K47" s="40">
        <f t="shared" si="1"/>
        <v>0</v>
      </c>
      <c r="L47" s="2"/>
    </row>
    <row r="48" spans="1:12">
      <c r="A48" s="8"/>
      <c r="B48" s="3"/>
      <c r="C48" s="21"/>
      <c r="D48" s="21"/>
      <c r="E48" s="22"/>
      <c r="F48" s="22"/>
      <c r="G48" s="161" t="s">
        <v>346</v>
      </c>
      <c r="H48" s="25" t="s">
        <v>48</v>
      </c>
      <c r="I48" s="40">
        <v>12</v>
      </c>
      <c r="J48" s="4"/>
      <c r="K48" s="40">
        <f t="shared" si="1"/>
        <v>0</v>
      </c>
      <c r="L48" s="2"/>
    </row>
    <row r="49" spans="1:12">
      <c r="A49" s="8"/>
      <c r="B49" s="3"/>
      <c r="C49" s="21"/>
      <c r="D49" s="21"/>
      <c r="E49" s="22"/>
      <c r="F49" s="22"/>
      <c r="G49" s="169" t="s">
        <v>347</v>
      </c>
      <c r="H49" s="25"/>
      <c r="I49" s="47"/>
      <c r="J49" s="133"/>
      <c r="K49" s="40"/>
      <c r="L49" s="2"/>
    </row>
    <row r="50" spans="1:12" ht="56">
      <c r="A50" s="8"/>
      <c r="B50" s="3"/>
      <c r="C50" s="21"/>
      <c r="D50" s="21"/>
      <c r="E50" s="22"/>
      <c r="F50" s="22"/>
      <c r="G50" s="14" t="s">
        <v>348</v>
      </c>
      <c r="H50" s="25" t="s">
        <v>48</v>
      </c>
      <c r="I50" s="48">
        <v>4</v>
      </c>
      <c r="J50" s="134"/>
      <c r="K50" s="40">
        <f>J50*I50</f>
        <v>0</v>
      </c>
      <c r="L50" s="2"/>
    </row>
    <row r="51" spans="1:12" ht="28">
      <c r="A51" s="8"/>
      <c r="B51" s="3"/>
      <c r="C51" s="21"/>
      <c r="D51" s="21"/>
      <c r="E51" s="22"/>
      <c r="F51" s="22"/>
      <c r="G51" s="14" t="s">
        <v>349</v>
      </c>
      <c r="H51" s="25" t="s">
        <v>48</v>
      </c>
      <c r="I51" s="48">
        <v>4</v>
      </c>
      <c r="J51" s="134"/>
      <c r="K51" s="40">
        <f>J51*I51</f>
        <v>0</v>
      </c>
      <c r="L51" s="2"/>
    </row>
    <row r="52" spans="1:12" ht="42">
      <c r="A52" s="8"/>
      <c r="B52" s="3"/>
      <c r="C52" s="21"/>
      <c r="D52" s="21"/>
      <c r="E52" s="22"/>
      <c r="F52" s="22"/>
      <c r="G52" s="14" t="s">
        <v>350</v>
      </c>
      <c r="H52" s="25" t="s">
        <v>48</v>
      </c>
      <c r="I52" s="48">
        <v>4</v>
      </c>
      <c r="J52" s="134"/>
      <c r="K52" s="40">
        <f t="shared" si="1"/>
        <v>0</v>
      </c>
      <c r="L52" s="2"/>
    </row>
    <row r="53" spans="1:12" ht="28">
      <c r="A53" s="8"/>
      <c r="B53" s="3"/>
      <c r="C53" s="21"/>
      <c r="D53" s="21"/>
      <c r="E53" s="22"/>
      <c r="F53" s="22"/>
      <c r="G53" s="14" t="s">
        <v>351</v>
      </c>
      <c r="H53" s="25" t="s">
        <v>48</v>
      </c>
      <c r="I53" s="48">
        <v>4</v>
      </c>
      <c r="J53" s="135"/>
      <c r="K53" s="40">
        <f t="shared" si="1"/>
        <v>0</v>
      </c>
      <c r="L53" s="2"/>
    </row>
    <row r="54" spans="1:12" ht="56">
      <c r="A54" s="8"/>
      <c r="B54" s="3"/>
      <c r="C54" s="21"/>
      <c r="D54" s="21"/>
      <c r="E54" s="22"/>
      <c r="F54" s="22"/>
      <c r="G54" s="14" t="s">
        <v>352</v>
      </c>
      <c r="H54" s="25" t="s">
        <v>48</v>
      </c>
      <c r="I54" s="48">
        <v>4</v>
      </c>
      <c r="J54" s="135"/>
      <c r="K54" s="40">
        <f t="shared" si="1"/>
        <v>0</v>
      </c>
      <c r="L54" s="2"/>
    </row>
    <row r="55" spans="1:12" ht="28">
      <c r="A55" s="8"/>
      <c r="B55" s="3"/>
      <c r="C55" s="21"/>
      <c r="D55" s="21"/>
      <c r="E55" s="22"/>
      <c r="F55" s="22"/>
      <c r="G55" s="14" t="s">
        <v>353</v>
      </c>
      <c r="H55" s="25" t="s">
        <v>48</v>
      </c>
      <c r="I55" s="48">
        <v>4</v>
      </c>
      <c r="J55" s="134"/>
      <c r="K55" s="40">
        <f t="shared" si="1"/>
        <v>0</v>
      </c>
      <c r="L55" s="2"/>
    </row>
    <row r="56" spans="1:12" ht="28">
      <c r="A56" s="8"/>
      <c r="B56" s="3"/>
      <c r="C56" s="21"/>
      <c r="D56" s="21"/>
      <c r="E56" s="22"/>
      <c r="F56" s="22"/>
      <c r="G56" s="14" t="s">
        <v>354</v>
      </c>
      <c r="H56" s="25" t="s">
        <v>48</v>
      </c>
      <c r="I56" s="48">
        <v>4</v>
      </c>
      <c r="J56" s="134"/>
      <c r="K56" s="40">
        <f t="shared" si="1"/>
        <v>0</v>
      </c>
      <c r="L56" s="2"/>
    </row>
    <row r="57" spans="1:12" ht="28">
      <c r="A57" s="8"/>
      <c r="B57" s="3"/>
      <c r="C57" s="21"/>
      <c r="D57" s="21"/>
      <c r="E57" s="22"/>
      <c r="F57" s="22"/>
      <c r="G57" s="14" t="s">
        <v>355</v>
      </c>
      <c r="H57" s="25" t="s">
        <v>48</v>
      </c>
      <c r="I57" s="48">
        <v>4</v>
      </c>
      <c r="J57" s="134"/>
      <c r="K57" s="40">
        <f t="shared" si="1"/>
        <v>0</v>
      </c>
      <c r="L57" s="2"/>
    </row>
    <row r="58" spans="1:12" ht="42">
      <c r="A58" s="8"/>
      <c r="B58" s="3"/>
      <c r="C58" s="21"/>
      <c r="D58" s="21"/>
      <c r="E58" s="22"/>
      <c r="F58" s="22"/>
      <c r="G58" s="14" t="s">
        <v>356</v>
      </c>
      <c r="H58" s="25" t="s">
        <v>48</v>
      </c>
      <c r="I58" s="48">
        <v>6</v>
      </c>
      <c r="J58" s="135"/>
      <c r="K58" s="40">
        <f t="shared" si="1"/>
        <v>0</v>
      </c>
      <c r="L58" s="2"/>
    </row>
    <row r="59" spans="1:12" ht="14">
      <c r="A59" s="8"/>
      <c r="B59" s="3"/>
      <c r="C59" s="21"/>
      <c r="D59" s="21"/>
      <c r="E59" s="22"/>
      <c r="F59" s="22"/>
      <c r="G59" s="14" t="s">
        <v>357</v>
      </c>
      <c r="H59" s="25" t="s">
        <v>48</v>
      </c>
      <c r="I59" s="48">
        <v>4</v>
      </c>
      <c r="J59" s="135"/>
      <c r="K59" s="40">
        <f t="shared" si="1"/>
        <v>0</v>
      </c>
      <c r="L59" s="2"/>
    </row>
    <row r="60" spans="1:12" ht="14">
      <c r="A60" s="8"/>
      <c r="B60" s="3"/>
      <c r="C60" s="21"/>
      <c r="D60" s="21"/>
      <c r="E60" s="22"/>
      <c r="F60" s="22"/>
      <c r="G60" s="14" t="s">
        <v>358</v>
      </c>
      <c r="H60" s="25" t="s">
        <v>48</v>
      </c>
      <c r="I60" s="48">
        <v>2</v>
      </c>
      <c r="J60" s="134"/>
      <c r="K60" s="40">
        <f t="shared" si="1"/>
        <v>0</v>
      </c>
      <c r="L60" s="2"/>
    </row>
    <row r="61" spans="1:12" ht="28">
      <c r="A61" s="8"/>
      <c r="B61" s="3"/>
      <c r="C61" s="21"/>
      <c r="D61" s="21"/>
      <c r="E61" s="22"/>
      <c r="F61" s="22"/>
      <c r="G61" s="14" t="s">
        <v>359</v>
      </c>
      <c r="H61" s="25" t="s">
        <v>48</v>
      </c>
      <c r="I61" s="48">
        <v>2</v>
      </c>
      <c r="J61" s="134"/>
      <c r="K61" s="40">
        <f t="shared" si="1"/>
        <v>0</v>
      </c>
      <c r="L61" s="2"/>
    </row>
    <row r="62" spans="1:12" ht="14">
      <c r="A62" s="8"/>
      <c r="B62" s="3"/>
      <c r="C62" s="21"/>
      <c r="D62" s="21"/>
      <c r="E62" s="22"/>
      <c r="F62" s="22"/>
      <c r="G62" s="14" t="s">
        <v>360</v>
      </c>
      <c r="H62" s="25" t="s">
        <v>48</v>
      </c>
      <c r="I62" s="48">
        <v>2</v>
      </c>
      <c r="J62" s="134"/>
      <c r="K62" s="40">
        <f t="shared" si="1"/>
        <v>0</v>
      </c>
      <c r="L62" s="2"/>
    </row>
    <row r="63" spans="1:12" ht="28">
      <c r="A63" s="8"/>
      <c r="B63" s="3"/>
      <c r="C63" s="21"/>
      <c r="D63" s="21"/>
      <c r="E63" s="22"/>
      <c r="F63" s="22"/>
      <c r="G63" s="14" t="s">
        <v>361</v>
      </c>
      <c r="H63" s="25" t="s">
        <v>48</v>
      </c>
      <c r="I63" s="48">
        <v>2</v>
      </c>
      <c r="J63" s="134"/>
      <c r="K63" s="40">
        <f t="shared" si="1"/>
        <v>0</v>
      </c>
      <c r="L63" s="2"/>
    </row>
    <row r="64" spans="1:12" ht="28">
      <c r="A64" s="8"/>
      <c r="B64" s="3"/>
      <c r="C64" s="21"/>
      <c r="D64" s="21"/>
      <c r="E64" s="22"/>
      <c r="F64" s="22"/>
      <c r="G64" s="14" t="s">
        <v>362</v>
      </c>
      <c r="H64" s="22" t="s">
        <v>48</v>
      </c>
      <c r="I64" s="48">
        <v>4</v>
      </c>
      <c r="J64" s="135"/>
      <c r="K64" s="40">
        <f t="shared" si="1"/>
        <v>0</v>
      </c>
      <c r="L64" s="2"/>
    </row>
    <row r="65" spans="1:12">
      <c r="A65" s="8"/>
      <c r="B65" s="3"/>
      <c r="C65" s="21"/>
      <c r="D65" s="21"/>
      <c r="E65" s="22"/>
      <c r="F65" s="22"/>
      <c r="G65" s="163" t="s">
        <v>363</v>
      </c>
      <c r="H65" s="22"/>
      <c r="I65" s="40"/>
      <c r="J65" s="4"/>
      <c r="K65" s="40"/>
      <c r="L65" s="258"/>
    </row>
    <row r="66" spans="1:12" ht="70">
      <c r="A66" s="8"/>
      <c r="B66" s="3"/>
      <c r="C66" s="21"/>
      <c r="D66" s="21"/>
      <c r="E66" s="22"/>
      <c r="F66" s="22"/>
      <c r="G66" s="14" t="s">
        <v>364</v>
      </c>
      <c r="H66" s="22" t="s">
        <v>48</v>
      </c>
      <c r="I66" s="48">
        <v>1</v>
      </c>
      <c r="J66" s="134"/>
      <c r="K66" s="40">
        <f t="shared" si="1"/>
        <v>0</v>
      </c>
      <c r="L66" s="2"/>
    </row>
    <row r="67" spans="1:12" ht="56">
      <c r="A67" s="8"/>
      <c r="B67" s="3"/>
      <c r="C67" s="21"/>
      <c r="D67" s="21"/>
      <c r="E67" s="22"/>
      <c r="F67" s="22"/>
      <c r="G67" s="14" t="s">
        <v>365</v>
      </c>
      <c r="H67" s="22" t="s">
        <v>48</v>
      </c>
      <c r="I67" s="48">
        <v>1</v>
      </c>
      <c r="J67" s="134"/>
      <c r="K67" s="40">
        <f t="shared" si="1"/>
        <v>0</v>
      </c>
      <c r="L67" s="2"/>
    </row>
    <row r="68" spans="1:12" ht="28">
      <c r="A68" s="8"/>
      <c r="B68" s="3"/>
      <c r="C68" s="21"/>
      <c r="D68" s="21"/>
      <c r="E68" s="22"/>
      <c r="F68" s="22"/>
      <c r="G68" s="14" t="s">
        <v>366</v>
      </c>
      <c r="H68" s="22" t="s">
        <v>48</v>
      </c>
      <c r="I68" s="48">
        <v>1</v>
      </c>
      <c r="J68" s="134"/>
      <c r="K68" s="40">
        <f t="shared" si="1"/>
        <v>0</v>
      </c>
      <c r="L68" s="2"/>
    </row>
    <row r="69" spans="1:12" ht="42">
      <c r="A69" s="8"/>
      <c r="B69" s="3"/>
      <c r="C69" s="21"/>
      <c r="D69" s="21"/>
      <c r="E69" s="22"/>
      <c r="F69" s="22"/>
      <c r="G69" s="14" t="s">
        <v>367</v>
      </c>
      <c r="H69" s="22" t="s">
        <v>48</v>
      </c>
      <c r="I69" s="48">
        <v>1</v>
      </c>
      <c r="J69" s="134"/>
      <c r="K69" s="40">
        <f t="shared" si="1"/>
        <v>0</v>
      </c>
      <c r="L69" s="2"/>
    </row>
    <row r="70" spans="1:12" ht="42">
      <c r="A70" s="8"/>
      <c r="B70" s="3"/>
      <c r="C70" s="21"/>
      <c r="D70" s="21"/>
      <c r="E70" s="22"/>
      <c r="F70" s="22"/>
      <c r="G70" s="14" t="s">
        <v>368</v>
      </c>
      <c r="H70" s="22" t="s">
        <v>48</v>
      </c>
      <c r="I70" s="48">
        <v>1</v>
      </c>
      <c r="J70" s="134"/>
      <c r="K70" s="40">
        <f t="shared" si="1"/>
        <v>0</v>
      </c>
      <c r="L70" s="2"/>
    </row>
    <row r="71" spans="1:12" ht="42">
      <c r="A71" s="8"/>
      <c r="B71" s="3"/>
      <c r="C71" s="21"/>
      <c r="D71" s="21"/>
      <c r="E71" s="22"/>
      <c r="F71" s="22"/>
      <c r="G71" s="14" t="s">
        <v>369</v>
      </c>
      <c r="H71" s="22" t="s">
        <v>48</v>
      </c>
      <c r="I71" s="48">
        <v>1</v>
      </c>
      <c r="J71" s="134"/>
      <c r="K71" s="40">
        <f t="shared" si="1"/>
        <v>0</v>
      </c>
      <c r="L71" s="2"/>
    </row>
    <row r="72" spans="1:12" ht="42">
      <c r="A72" s="8"/>
      <c r="B72" s="3"/>
      <c r="C72" s="21"/>
      <c r="D72" s="21"/>
      <c r="E72" s="22"/>
      <c r="F72" s="22"/>
      <c r="G72" s="14" t="s">
        <v>370</v>
      </c>
      <c r="H72" s="22" t="s">
        <v>48</v>
      </c>
      <c r="I72" s="48">
        <v>1</v>
      </c>
      <c r="J72" s="135"/>
      <c r="K72" s="40">
        <f t="shared" si="1"/>
        <v>0</v>
      </c>
      <c r="L72" s="2"/>
    </row>
    <row r="73" spans="1:12" ht="28">
      <c r="A73" s="8"/>
      <c r="B73" s="3"/>
      <c r="C73" s="21"/>
      <c r="D73" s="21"/>
      <c r="E73" s="22"/>
      <c r="F73" s="22"/>
      <c r="G73" s="14" t="s">
        <v>371</v>
      </c>
      <c r="H73" s="22" t="s">
        <v>48</v>
      </c>
      <c r="I73" s="48">
        <v>1</v>
      </c>
      <c r="J73" s="134"/>
      <c r="K73" s="40">
        <f t="shared" si="1"/>
        <v>0</v>
      </c>
      <c r="L73" s="2"/>
    </row>
    <row r="74" spans="1:12" ht="42">
      <c r="A74" s="8"/>
      <c r="B74" s="3"/>
      <c r="C74" s="21"/>
      <c r="D74" s="21"/>
      <c r="E74" s="22"/>
      <c r="F74" s="22"/>
      <c r="G74" s="14" t="s">
        <v>372</v>
      </c>
      <c r="H74" s="22" t="s">
        <v>48</v>
      </c>
      <c r="I74" s="48">
        <v>1</v>
      </c>
      <c r="J74" s="134"/>
      <c r="K74" s="40">
        <f t="shared" si="1"/>
        <v>0</v>
      </c>
      <c r="L74" s="2"/>
    </row>
    <row r="75" spans="1:12" ht="28">
      <c r="A75" s="8"/>
      <c r="B75" s="3"/>
      <c r="C75" s="21"/>
      <c r="D75" s="21"/>
      <c r="E75" s="22"/>
      <c r="F75" s="22"/>
      <c r="G75" s="14" t="s">
        <v>373</v>
      </c>
      <c r="H75" s="22" t="s">
        <v>48</v>
      </c>
      <c r="I75" s="48">
        <v>1</v>
      </c>
      <c r="J75" s="134"/>
      <c r="K75" s="40">
        <f t="shared" si="1"/>
        <v>0</v>
      </c>
      <c r="L75" s="2"/>
    </row>
    <row r="76" spans="1:12" ht="70">
      <c r="A76" s="8"/>
      <c r="B76" s="3"/>
      <c r="C76" s="21"/>
      <c r="D76" s="21"/>
      <c r="E76" s="22"/>
      <c r="F76" s="22"/>
      <c r="G76" s="14" t="s">
        <v>374</v>
      </c>
      <c r="H76" s="22" t="s">
        <v>48</v>
      </c>
      <c r="I76" s="48">
        <v>1</v>
      </c>
      <c r="J76" s="134"/>
      <c r="K76" s="40">
        <f t="shared" si="1"/>
        <v>0</v>
      </c>
      <c r="L76" s="2"/>
    </row>
    <row r="77" spans="1:12" ht="14">
      <c r="A77" s="8"/>
      <c r="B77" s="3"/>
      <c r="C77" s="21"/>
      <c r="D77" s="21"/>
      <c r="E77" s="22"/>
      <c r="F77" s="22"/>
      <c r="G77" s="14" t="s">
        <v>375</v>
      </c>
      <c r="H77" s="22" t="s">
        <v>48</v>
      </c>
      <c r="I77" s="48">
        <v>1</v>
      </c>
      <c r="J77" s="134"/>
      <c r="K77" s="40">
        <f t="shared" si="1"/>
        <v>0</v>
      </c>
      <c r="L77" s="2"/>
    </row>
    <row r="78" spans="1:12" ht="14">
      <c r="A78" s="8"/>
      <c r="B78" s="3"/>
      <c r="C78" s="21"/>
      <c r="D78" s="21"/>
      <c r="E78" s="22"/>
      <c r="F78" s="22"/>
      <c r="G78" s="14" t="s">
        <v>376</v>
      </c>
      <c r="H78" s="22" t="s">
        <v>48</v>
      </c>
      <c r="I78" s="48">
        <v>1</v>
      </c>
      <c r="J78" s="135"/>
      <c r="K78" s="40">
        <f t="shared" si="1"/>
        <v>0</v>
      </c>
      <c r="L78" s="2"/>
    </row>
    <row r="79" spans="1:12" ht="28">
      <c r="A79" s="8"/>
      <c r="B79" s="3"/>
      <c r="C79" s="21"/>
      <c r="D79" s="21"/>
      <c r="E79" s="22"/>
      <c r="F79" s="22"/>
      <c r="G79" s="14" t="s">
        <v>377</v>
      </c>
      <c r="H79" s="22" t="s">
        <v>48</v>
      </c>
      <c r="I79" s="48">
        <v>1</v>
      </c>
      <c r="J79" s="134"/>
      <c r="K79" s="40">
        <f t="shared" si="1"/>
        <v>0</v>
      </c>
      <c r="L79" s="2"/>
    </row>
    <row r="80" spans="1:12" ht="28">
      <c r="A80" s="8"/>
      <c r="B80" s="3"/>
      <c r="C80" s="21"/>
      <c r="D80" s="21"/>
      <c r="E80" s="22"/>
      <c r="F80" s="22"/>
      <c r="G80" s="14" t="s">
        <v>378</v>
      </c>
      <c r="H80" s="22" t="s">
        <v>48</v>
      </c>
      <c r="I80" s="48">
        <v>1</v>
      </c>
      <c r="J80" s="134"/>
      <c r="K80" s="40">
        <f t="shared" si="1"/>
        <v>0</v>
      </c>
      <c r="L80" s="2"/>
    </row>
    <row r="81" spans="1:12" ht="14">
      <c r="A81" s="8"/>
      <c r="B81" s="3"/>
      <c r="C81" s="21"/>
      <c r="D81" s="21"/>
      <c r="E81" s="22"/>
      <c r="F81" s="22"/>
      <c r="G81" s="14" t="s">
        <v>379</v>
      </c>
      <c r="H81" s="22" t="s">
        <v>48</v>
      </c>
      <c r="I81" s="48">
        <v>1</v>
      </c>
      <c r="J81" s="134"/>
      <c r="K81" s="40">
        <f t="shared" si="1"/>
        <v>0</v>
      </c>
      <c r="L81" s="2"/>
    </row>
    <row r="82" spans="1:12" ht="42">
      <c r="A82" s="8"/>
      <c r="B82" s="106"/>
      <c r="C82" s="70"/>
      <c r="D82" s="24"/>
      <c r="E82" s="22"/>
      <c r="F82" s="22"/>
      <c r="G82" s="14" t="s">
        <v>380</v>
      </c>
      <c r="H82" s="22" t="s">
        <v>48</v>
      </c>
      <c r="I82" s="48">
        <v>1</v>
      </c>
      <c r="J82" s="134"/>
      <c r="K82" s="40">
        <f t="shared" si="1"/>
        <v>0</v>
      </c>
      <c r="L82" s="2"/>
    </row>
    <row r="83" spans="1:12" ht="14">
      <c r="A83" s="8"/>
      <c r="B83" s="3"/>
      <c r="C83" s="62"/>
      <c r="D83" s="21"/>
      <c r="E83" s="22"/>
      <c r="F83" s="22"/>
      <c r="G83" s="14" t="s">
        <v>381</v>
      </c>
      <c r="H83" s="21"/>
      <c r="I83" s="48">
        <v>1</v>
      </c>
      <c r="J83" s="134"/>
      <c r="K83" s="40">
        <f t="shared" ref="K83:K84" si="2">J83*I83</f>
        <v>0</v>
      </c>
      <c r="L83" s="19"/>
    </row>
    <row r="84" spans="1:12" ht="28">
      <c r="A84" s="3"/>
      <c r="B84" s="3"/>
      <c r="C84" s="3"/>
      <c r="D84" s="3"/>
      <c r="E84" s="3"/>
      <c r="F84" s="3"/>
      <c r="G84" s="3" t="s">
        <v>362</v>
      </c>
      <c r="H84" s="3"/>
      <c r="I84" s="3">
        <v>1</v>
      </c>
      <c r="J84" s="134"/>
      <c r="K84" s="40">
        <f t="shared" si="2"/>
        <v>0</v>
      </c>
      <c r="L84" s="3"/>
    </row>
    <row r="86" spans="1:12">
      <c r="E86" t="s">
        <v>150</v>
      </c>
      <c r="F86" s="253">
        <f>SUM(F3:F84)</f>
        <v>0</v>
      </c>
      <c r="J86" t="s">
        <v>151</v>
      </c>
      <c r="K86" s="253">
        <f>SUM(K3:K84)</f>
        <v>0</v>
      </c>
    </row>
  </sheetData>
  <sheetProtection algorithmName="SHA-512" hashValue="exnW1zvGCDOwrfZOjBNlCRXy4Fg3yhOotu2coUUXWI4AA/i5RrsFv2/lG/4OZFFkKKFODr1WpOT7CoU/HuQt3g==" saltValue="9yZeOwASY+Sk5/APpS1W2A==" spinCount="100000" sheet="1" objects="1" scenarios="1"/>
  <protectedRanges>
    <protectedRange sqref="E3:E84" name="Works"/>
    <protectedRange sqref="J3:J84" name="Materials"/>
  </protectedRanges>
  <mergeCells count="7">
    <mergeCell ref="L1:L2"/>
    <mergeCell ref="A1:A2"/>
    <mergeCell ref="B1:B2"/>
    <mergeCell ref="C1:C2"/>
    <mergeCell ref="D1:D2"/>
    <mergeCell ref="E1:F1"/>
    <mergeCell ref="G1:K1"/>
  </mergeCells>
  <conditionalFormatting sqref="D5:D15">
    <cfRule type="expression" dxfId="19" priority="1">
      <formula>AND(NOT(ISBLANK(B5)),OR(ISBLANK(D5),D5=0))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23"/>
  <sheetViews>
    <sheetView topLeftCell="D79" workbookViewId="0">
      <selection activeCell="K88" sqref="K88"/>
    </sheetView>
  </sheetViews>
  <sheetFormatPr baseColWidth="10" defaultColWidth="8.83203125" defaultRowHeight="13"/>
  <cols>
    <col min="2" max="2" width="37.33203125" customWidth="1"/>
    <col min="6" max="6" width="16" customWidth="1"/>
    <col min="7" max="7" width="46.33203125" customWidth="1"/>
    <col min="10" max="10" width="11.1640625" customWidth="1"/>
    <col min="11" max="11" width="18.33203125" customWidth="1"/>
  </cols>
  <sheetData>
    <row r="1" spans="1:12">
      <c r="A1" s="285" t="s">
        <v>24</v>
      </c>
      <c r="B1" s="287" t="s">
        <v>25</v>
      </c>
      <c r="C1" s="288" t="s">
        <v>26</v>
      </c>
      <c r="D1" s="288" t="s">
        <v>27</v>
      </c>
      <c r="E1" s="289" t="s">
        <v>28</v>
      </c>
      <c r="F1" s="289"/>
      <c r="G1" s="290" t="s">
        <v>29</v>
      </c>
      <c r="H1" s="290"/>
      <c r="I1" s="290"/>
      <c r="J1" s="290"/>
      <c r="K1" s="290"/>
      <c r="L1" s="284" t="s">
        <v>30</v>
      </c>
    </row>
    <row r="2" spans="1:12" ht="28">
      <c r="A2" s="286"/>
      <c r="B2" s="287"/>
      <c r="C2" s="288"/>
      <c r="D2" s="288"/>
      <c r="E2" s="40" t="s">
        <v>31</v>
      </c>
      <c r="F2" s="40" t="s">
        <v>32</v>
      </c>
      <c r="G2" s="258" t="s">
        <v>33</v>
      </c>
      <c r="H2" s="259" t="s">
        <v>26</v>
      </c>
      <c r="I2" s="259" t="s">
        <v>27</v>
      </c>
      <c r="J2" s="40" t="s">
        <v>31</v>
      </c>
      <c r="K2" s="40" t="s">
        <v>32</v>
      </c>
      <c r="L2" s="284"/>
    </row>
    <row r="3" spans="1:12" ht="28">
      <c r="A3" s="8"/>
      <c r="B3" s="18" t="s">
        <v>382</v>
      </c>
      <c r="C3" s="62"/>
      <c r="D3" s="21"/>
      <c r="E3" s="22"/>
      <c r="F3" s="22"/>
      <c r="G3" s="6" t="s">
        <v>383</v>
      </c>
      <c r="H3" s="21"/>
      <c r="I3" s="145"/>
      <c r="J3" s="146"/>
      <c r="K3" s="40"/>
      <c r="L3" s="19"/>
    </row>
    <row r="4" spans="1:12">
      <c r="A4" s="8"/>
      <c r="B4" s="53"/>
      <c r="C4" s="62"/>
      <c r="D4" s="21"/>
      <c r="E4" s="22"/>
      <c r="F4" s="22"/>
      <c r="G4" s="6"/>
      <c r="H4" s="21"/>
      <c r="I4" s="145"/>
      <c r="J4" s="146"/>
      <c r="K4" s="40"/>
      <c r="L4" s="19"/>
    </row>
    <row r="5" spans="1:12" ht="14">
      <c r="A5" s="8"/>
      <c r="B5" s="6" t="s">
        <v>384</v>
      </c>
      <c r="C5" s="62"/>
      <c r="D5" s="21"/>
      <c r="E5" s="22"/>
      <c r="F5" s="22"/>
      <c r="G5" s="170" t="s">
        <v>385</v>
      </c>
      <c r="H5" s="21"/>
      <c r="I5" s="145"/>
      <c r="J5" s="146"/>
      <c r="K5" s="40"/>
      <c r="L5" s="19"/>
    </row>
    <row r="6" spans="1:12" ht="28">
      <c r="A6" s="8">
        <v>98</v>
      </c>
      <c r="B6" s="112" t="s">
        <v>386</v>
      </c>
      <c r="C6" s="32" t="s">
        <v>387</v>
      </c>
      <c r="D6" s="32">
        <v>1</v>
      </c>
      <c r="E6" s="74"/>
      <c r="F6" s="75">
        <f>E6*D6</f>
        <v>0</v>
      </c>
      <c r="G6" s="112" t="s">
        <v>388</v>
      </c>
      <c r="H6" s="32" t="s">
        <v>387</v>
      </c>
      <c r="I6" s="83">
        <v>1</v>
      </c>
      <c r="J6" s="87"/>
      <c r="K6" s="84">
        <f t="shared" ref="K6:K38" si="0">J6*I6</f>
        <v>0</v>
      </c>
      <c r="L6" s="19"/>
    </row>
    <row r="7" spans="1:12" ht="14">
      <c r="A7" s="8">
        <v>99</v>
      </c>
      <c r="B7" s="112" t="s">
        <v>389</v>
      </c>
      <c r="C7" s="32" t="s">
        <v>390</v>
      </c>
      <c r="D7" s="32">
        <v>1</v>
      </c>
      <c r="E7" s="74"/>
      <c r="F7" s="75">
        <f t="shared" ref="F7:F66" si="1">E7*D7</f>
        <v>0</v>
      </c>
      <c r="G7" s="112" t="s">
        <v>391</v>
      </c>
      <c r="H7" s="32" t="s">
        <v>390</v>
      </c>
      <c r="I7" s="83">
        <v>1</v>
      </c>
      <c r="J7" s="87"/>
      <c r="K7" s="84">
        <f t="shared" si="0"/>
        <v>0</v>
      </c>
      <c r="L7" s="19"/>
    </row>
    <row r="8" spans="1:12" ht="28">
      <c r="A8" s="8">
        <v>100</v>
      </c>
      <c r="B8" s="112" t="s">
        <v>392</v>
      </c>
      <c r="C8" s="32" t="s">
        <v>41</v>
      </c>
      <c r="D8" s="32">
        <v>134</v>
      </c>
      <c r="E8" s="74"/>
      <c r="F8" s="75">
        <f t="shared" si="1"/>
        <v>0</v>
      </c>
      <c r="G8" s="112" t="s">
        <v>393</v>
      </c>
      <c r="H8" s="32" t="s">
        <v>41</v>
      </c>
      <c r="I8" s="83">
        <v>2</v>
      </c>
      <c r="J8" s="87"/>
      <c r="K8" s="84">
        <f t="shared" si="0"/>
        <v>0</v>
      </c>
      <c r="L8" s="19"/>
    </row>
    <row r="9" spans="1:12" ht="28">
      <c r="A9" s="8"/>
      <c r="B9" s="112"/>
      <c r="C9" s="32"/>
      <c r="D9" s="32"/>
      <c r="E9" s="74"/>
      <c r="F9" s="75"/>
      <c r="G9" s="112" t="s">
        <v>394</v>
      </c>
      <c r="H9" s="32" t="s">
        <v>41</v>
      </c>
      <c r="I9" s="83">
        <v>81</v>
      </c>
      <c r="J9" s="87"/>
      <c r="K9" s="84">
        <f t="shared" si="0"/>
        <v>0</v>
      </c>
      <c r="L9" s="19"/>
    </row>
    <row r="10" spans="1:12" ht="28">
      <c r="A10" s="8"/>
      <c r="B10" s="112"/>
      <c r="C10" s="32"/>
      <c r="D10" s="32"/>
      <c r="E10" s="74"/>
      <c r="F10" s="75"/>
      <c r="G10" s="112" t="s">
        <v>395</v>
      </c>
      <c r="H10" s="32" t="s">
        <v>41</v>
      </c>
      <c r="I10" s="83">
        <v>35</v>
      </c>
      <c r="J10" s="87"/>
      <c r="K10" s="84">
        <f t="shared" si="0"/>
        <v>0</v>
      </c>
      <c r="L10" s="19"/>
    </row>
    <row r="11" spans="1:12" ht="28">
      <c r="A11" s="8"/>
      <c r="B11" s="112"/>
      <c r="C11" s="32"/>
      <c r="D11" s="32"/>
      <c r="E11" s="76"/>
      <c r="F11" s="75"/>
      <c r="G11" s="112" t="s">
        <v>396</v>
      </c>
      <c r="H11" s="32" t="s">
        <v>41</v>
      </c>
      <c r="I11" s="83">
        <v>16</v>
      </c>
      <c r="J11" s="87"/>
      <c r="K11" s="84">
        <f t="shared" si="0"/>
        <v>0</v>
      </c>
      <c r="L11" s="19"/>
    </row>
    <row r="12" spans="1:12" ht="28">
      <c r="A12" s="8">
        <v>104</v>
      </c>
      <c r="B12" s="112" t="s">
        <v>397</v>
      </c>
      <c r="C12" s="32" t="s">
        <v>41</v>
      </c>
      <c r="D12" s="32">
        <v>57</v>
      </c>
      <c r="E12" s="76"/>
      <c r="F12" s="75">
        <f t="shared" si="1"/>
        <v>0</v>
      </c>
      <c r="G12" s="112" t="s">
        <v>398</v>
      </c>
      <c r="H12" s="32" t="s">
        <v>41</v>
      </c>
      <c r="I12" s="83">
        <v>1</v>
      </c>
      <c r="J12" s="87"/>
      <c r="K12" s="84">
        <f t="shared" si="0"/>
        <v>0</v>
      </c>
      <c r="L12" s="19"/>
    </row>
    <row r="13" spans="1:12" ht="28">
      <c r="A13" s="8"/>
      <c r="B13" s="112"/>
      <c r="C13" s="32"/>
      <c r="D13" s="32"/>
      <c r="E13" s="76"/>
      <c r="F13" s="75"/>
      <c r="G13" s="112" t="s">
        <v>399</v>
      </c>
      <c r="H13" s="32" t="s">
        <v>41</v>
      </c>
      <c r="I13" s="83">
        <v>37</v>
      </c>
      <c r="J13" s="87"/>
      <c r="K13" s="84">
        <f>J13*I13</f>
        <v>0</v>
      </c>
      <c r="L13" s="19"/>
    </row>
    <row r="14" spans="1:12" ht="28">
      <c r="A14" s="8"/>
      <c r="B14" s="112"/>
      <c r="C14" s="32"/>
      <c r="D14" s="32"/>
      <c r="E14" s="76"/>
      <c r="F14" s="75"/>
      <c r="G14" s="112" t="s">
        <v>400</v>
      </c>
      <c r="H14" s="32" t="s">
        <v>41</v>
      </c>
      <c r="I14" s="83">
        <v>12</v>
      </c>
      <c r="J14" s="87"/>
      <c r="K14" s="84">
        <f t="shared" si="0"/>
        <v>0</v>
      </c>
      <c r="L14" s="19"/>
    </row>
    <row r="15" spans="1:12" ht="28">
      <c r="A15" s="8"/>
      <c r="B15" s="112"/>
      <c r="C15" s="32"/>
      <c r="D15" s="32"/>
      <c r="E15" s="76"/>
      <c r="F15" s="75"/>
      <c r="G15" s="112" t="s">
        <v>401</v>
      </c>
      <c r="H15" s="32" t="s">
        <v>41</v>
      </c>
      <c r="I15" s="83">
        <v>7</v>
      </c>
      <c r="J15" s="87"/>
      <c r="K15" s="84">
        <f t="shared" si="0"/>
        <v>0</v>
      </c>
      <c r="L15" s="19"/>
    </row>
    <row r="16" spans="1:12" ht="28">
      <c r="A16" s="8">
        <v>108</v>
      </c>
      <c r="B16" s="112" t="s">
        <v>402</v>
      </c>
      <c r="C16" s="32" t="s">
        <v>74</v>
      </c>
      <c r="D16" s="32">
        <v>5</v>
      </c>
      <c r="E16" s="76"/>
      <c r="F16" s="75">
        <f t="shared" si="1"/>
        <v>0</v>
      </c>
      <c r="G16" s="112" t="s">
        <v>403</v>
      </c>
      <c r="H16" s="32" t="s">
        <v>74</v>
      </c>
      <c r="I16" s="83">
        <v>5</v>
      </c>
      <c r="J16" s="87"/>
      <c r="K16" s="84">
        <f t="shared" si="0"/>
        <v>0</v>
      </c>
      <c r="L16" s="19"/>
    </row>
    <row r="17" spans="1:12" ht="14">
      <c r="A17" s="8">
        <v>109</v>
      </c>
      <c r="B17" s="112" t="s">
        <v>404</v>
      </c>
      <c r="C17" s="32" t="s">
        <v>387</v>
      </c>
      <c r="D17" s="32">
        <v>4</v>
      </c>
      <c r="E17" s="76"/>
      <c r="F17" s="75">
        <f t="shared" si="1"/>
        <v>0</v>
      </c>
      <c r="G17" s="112" t="s">
        <v>405</v>
      </c>
      <c r="H17" s="32" t="s">
        <v>387</v>
      </c>
      <c r="I17" s="83">
        <v>4</v>
      </c>
      <c r="J17" s="87"/>
      <c r="K17" s="84">
        <f t="shared" si="0"/>
        <v>0</v>
      </c>
      <c r="L17" s="19"/>
    </row>
    <row r="18" spans="1:12" ht="14">
      <c r="A18" s="8">
        <v>110</v>
      </c>
      <c r="B18" s="112" t="s">
        <v>406</v>
      </c>
      <c r="C18" s="32" t="s">
        <v>387</v>
      </c>
      <c r="D18" s="32">
        <v>5</v>
      </c>
      <c r="E18" s="76"/>
      <c r="F18" s="75">
        <f t="shared" si="1"/>
        <v>0</v>
      </c>
      <c r="G18" s="112" t="s">
        <v>407</v>
      </c>
      <c r="H18" s="32" t="s">
        <v>387</v>
      </c>
      <c r="I18" s="83">
        <v>1</v>
      </c>
      <c r="J18" s="87"/>
      <c r="K18" s="84">
        <f t="shared" si="0"/>
        <v>0</v>
      </c>
      <c r="L18" s="19"/>
    </row>
    <row r="19" spans="1:12" ht="14">
      <c r="A19" s="8">
        <v>111</v>
      </c>
      <c r="B19" s="112"/>
      <c r="C19" s="32"/>
      <c r="D19" s="32"/>
      <c r="E19" s="76"/>
      <c r="F19" s="75"/>
      <c r="G19" s="112" t="s">
        <v>408</v>
      </c>
      <c r="H19" s="32" t="s">
        <v>387</v>
      </c>
      <c r="I19" s="83">
        <v>4</v>
      </c>
      <c r="J19" s="87"/>
      <c r="K19" s="84">
        <f t="shared" si="0"/>
        <v>0</v>
      </c>
      <c r="L19" s="19"/>
    </row>
    <row r="20" spans="1:12" ht="14">
      <c r="A20" s="8">
        <v>112</v>
      </c>
      <c r="B20" s="112" t="s">
        <v>409</v>
      </c>
      <c r="C20" s="32" t="s">
        <v>387</v>
      </c>
      <c r="D20" s="32">
        <v>1</v>
      </c>
      <c r="E20" s="76"/>
      <c r="F20" s="75">
        <f t="shared" si="1"/>
        <v>0</v>
      </c>
      <c r="G20" s="112" t="s">
        <v>410</v>
      </c>
      <c r="H20" s="32" t="s">
        <v>387</v>
      </c>
      <c r="I20" s="83">
        <v>1</v>
      </c>
      <c r="J20" s="87"/>
      <c r="K20" s="84">
        <f t="shared" si="0"/>
        <v>0</v>
      </c>
      <c r="L20" s="19"/>
    </row>
    <row r="21" spans="1:12" ht="28">
      <c r="A21" s="8">
        <v>113</v>
      </c>
      <c r="B21" s="112" t="s">
        <v>411</v>
      </c>
      <c r="C21" s="32" t="s">
        <v>387</v>
      </c>
      <c r="D21" s="32">
        <v>26</v>
      </c>
      <c r="E21" s="76"/>
      <c r="F21" s="75">
        <f t="shared" si="1"/>
        <v>0</v>
      </c>
      <c r="G21" s="112" t="s">
        <v>412</v>
      </c>
      <c r="H21" s="32" t="s">
        <v>387</v>
      </c>
      <c r="I21" s="83" t="s">
        <v>413</v>
      </c>
      <c r="J21" s="87"/>
      <c r="K21" s="84">
        <f t="shared" si="0"/>
        <v>0</v>
      </c>
      <c r="L21" s="19"/>
    </row>
    <row r="22" spans="1:12" ht="28">
      <c r="A22" s="8">
        <v>114</v>
      </c>
      <c r="B22" s="112"/>
      <c r="C22" s="32"/>
      <c r="D22" s="32"/>
      <c r="E22" s="76"/>
      <c r="F22" s="75"/>
      <c r="G22" s="112" t="s">
        <v>414</v>
      </c>
      <c r="H22" s="32" t="s">
        <v>387</v>
      </c>
      <c r="I22" s="83" t="s">
        <v>415</v>
      </c>
      <c r="J22" s="87"/>
      <c r="K22" s="84">
        <f t="shared" si="0"/>
        <v>0</v>
      </c>
      <c r="L22" s="19"/>
    </row>
    <row r="23" spans="1:12" ht="28">
      <c r="A23" s="8">
        <v>115</v>
      </c>
      <c r="B23" s="112"/>
      <c r="C23" s="32"/>
      <c r="D23" s="32"/>
      <c r="E23" s="76"/>
      <c r="F23" s="75"/>
      <c r="G23" s="112" t="s">
        <v>416</v>
      </c>
      <c r="H23" s="32" t="s">
        <v>387</v>
      </c>
      <c r="I23" s="83">
        <v>2</v>
      </c>
      <c r="J23" s="87"/>
      <c r="K23" s="84">
        <f t="shared" si="0"/>
        <v>0</v>
      </c>
      <c r="L23" s="19"/>
    </row>
    <row r="24" spans="1:12" ht="28">
      <c r="A24" s="8">
        <v>116</v>
      </c>
      <c r="B24" s="113" t="s">
        <v>417</v>
      </c>
      <c r="C24" s="32" t="s">
        <v>387</v>
      </c>
      <c r="D24" s="77" t="s">
        <v>418</v>
      </c>
      <c r="E24" s="76"/>
      <c r="F24" s="75">
        <f t="shared" si="1"/>
        <v>0</v>
      </c>
      <c r="G24" s="113" t="s">
        <v>419</v>
      </c>
      <c r="H24" s="32" t="s">
        <v>387</v>
      </c>
      <c r="I24" s="83" t="s">
        <v>418</v>
      </c>
      <c r="J24" s="87"/>
      <c r="K24" s="84">
        <f t="shared" si="0"/>
        <v>0</v>
      </c>
      <c r="L24" s="19"/>
    </row>
    <row r="25" spans="1:12" ht="28">
      <c r="A25" s="8">
        <v>117</v>
      </c>
      <c r="B25" s="113" t="s">
        <v>420</v>
      </c>
      <c r="C25" s="32" t="s">
        <v>387</v>
      </c>
      <c r="D25" s="77">
        <v>26</v>
      </c>
      <c r="E25" s="78"/>
      <c r="F25" s="75">
        <f t="shared" si="1"/>
        <v>0</v>
      </c>
      <c r="G25" s="113" t="s">
        <v>421</v>
      </c>
      <c r="H25" s="32" t="s">
        <v>387</v>
      </c>
      <c r="I25" s="83" t="s">
        <v>422</v>
      </c>
      <c r="J25" s="87"/>
      <c r="K25" s="84">
        <f t="shared" si="0"/>
        <v>0</v>
      </c>
      <c r="L25" s="19"/>
    </row>
    <row r="26" spans="1:12" ht="28">
      <c r="A26" s="8">
        <v>118</v>
      </c>
      <c r="B26" s="113"/>
      <c r="C26" s="32"/>
      <c r="D26" s="77"/>
      <c r="E26" s="78"/>
      <c r="F26" s="75"/>
      <c r="G26" s="113" t="s">
        <v>423</v>
      </c>
      <c r="H26" s="32" t="s">
        <v>387</v>
      </c>
      <c r="I26" s="83" t="s">
        <v>422</v>
      </c>
      <c r="J26" s="87"/>
      <c r="K26" s="84">
        <f t="shared" si="0"/>
        <v>0</v>
      </c>
      <c r="L26" s="19"/>
    </row>
    <row r="27" spans="1:12" ht="28">
      <c r="A27" s="8">
        <v>119</v>
      </c>
      <c r="B27" s="113"/>
      <c r="C27" s="32"/>
      <c r="D27" s="77"/>
      <c r="E27" s="78"/>
      <c r="F27" s="75"/>
      <c r="G27" s="113" t="s">
        <v>424</v>
      </c>
      <c r="H27" s="32" t="s">
        <v>387</v>
      </c>
      <c r="I27" s="147">
        <v>4</v>
      </c>
      <c r="J27" s="87"/>
      <c r="K27" s="84">
        <f t="shared" si="0"/>
        <v>0</v>
      </c>
      <c r="L27" s="19"/>
    </row>
    <row r="28" spans="1:12" ht="28">
      <c r="A28" s="8">
        <v>120</v>
      </c>
      <c r="B28" s="113"/>
      <c r="C28" s="32"/>
      <c r="D28" s="77"/>
      <c r="E28" s="78"/>
      <c r="F28" s="75"/>
      <c r="G28" s="113" t="s">
        <v>425</v>
      </c>
      <c r="H28" s="32" t="s">
        <v>387</v>
      </c>
      <c r="I28" s="147">
        <v>2</v>
      </c>
      <c r="J28" s="87"/>
      <c r="K28" s="84">
        <f t="shared" si="0"/>
        <v>0</v>
      </c>
      <c r="L28" s="19"/>
    </row>
    <row r="29" spans="1:12" ht="14">
      <c r="A29" s="8">
        <v>121</v>
      </c>
      <c r="B29" s="112" t="s">
        <v>426</v>
      </c>
      <c r="C29" s="32" t="s">
        <v>41</v>
      </c>
      <c r="D29" s="77">
        <v>46</v>
      </c>
      <c r="E29" s="78"/>
      <c r="F29" s="75">
        <f t="shared" si="1"/>
        <v>0</v>
      </c>
      <c r="G29" s="112" t="s">
        <v>427</v>
      </c>
      <c r="H29" s="32" t="s">
        <v>41</v>
      </c>
      <c r="I29" s="147">
        <v>46</v>
      </c>
      <c r="J29" s="87"/>
      <c r="K29" s="84">
        <f t="shared" si="0"/>
        <v>0</v>
      </c>
      <c r="L29" s="19"/>
    </row>
    <row r="30" spans="1:12" ht="28">
      <c r="A30" s="8">
        <v>122</v>
      </c>
      <c r="B30" s="112" t="s">
        <v>428</v>
      </c>
      <c r="C30" s="32" t="s">
        <v>41</v>
      </c>
      <c r="D30" s="77">
        <v>115</v>
      </c>
      <c r="E30" s="78"/>
      <c r="F30" s="75">
        <f t="shared" si="1"/>
        <v>0</v>
      </c>
      <c r="G30" s="112" t="s">
        <v>429</v>
      </c>
      <c r="H30" s="32" t="s">
        <v>41</v>
      </c>
      <c r="I30" s="147">
        <v>115</v>
      </c>
      <c r="J30" s="87"/>
      <c r="K30" s="84">
        <f t="shared" si="0"/>
        <v>0</v>
      </c>
      <c r="L30" s="19"/>
    </row>
    <row r="31" spans="1:12" ht="14">
      <c r="A31" s="8">
        <v>123</v>
      </c>
      <c r="B31" s="112" t="s">
        <v>430</v>
      </c>
      <c r="C31" s="32" t="s">
        <v>390</v>
      </c>
      <c r="D31" s="32">
        <v>1</v>
      </c>
      <c r="E31" s="78"/>
      <c r="F31" s="75">
        <f t="shared" si="1"/>
        <v>0</v>
      </c>
      <c r="G31" s="112" t="s">
        <v>431</v>
      </c>
      <c r="H31" s="32" t="s">
        <v>387</v>
      </c>
      <c r="I31" s="147">
        <v>260</v>
      </c>
      <c r="J31" s="87"/>
      <c r="K31" s="84">
        <f t="shared" si="0"/>
        <v>0</v>
      </c>
      <c r="L31" s="19"/>
    </row>
    <row r="32" spans="1:12" ht="14">
      <c r="A32" s="8">
        <v>124</v>
      </c>
      <c r="B32" s="112"/>
      <c r="C32" s="32"/>
      <c r="D32" s="32"/>
      <c r="E32" s="75"/>
      <c r="F32" s="75"/>
      <c r="G32" s="112" t="s">
        <v>432</v>
      </c>
      <c r="H32" s="32" t="s">
        <v>387</v>
      </c>
      <c r="I32" s="97">
        <v>260</v>
      </c>
      <c r="J32" s="87"/>
      <c r="K32" s="84">
        <f t="shared" si="0"/>
        <v>0</v>
      </c>
      <c r="L32" s="19"/>
    </row>
    <row r="33" spans="1:12" ht="14">
      <c r="A33" s="8">
        <v>125</v>
      </c>
      <c r="B33" s="112"/>
      <c r="C33" s="32"/>
      <c r="D33" s="32"/>
      <c r="E33" s="75"/>
      <c r="F33" s="75"/>
      <c r="G33" s="112" t="s">
        <v>433</v>
      </c>
      <c r="H33" s="32" t="s">
        <v>387</v>
      </c>
      <c r="I33" s="97">
        <v>8</v>
      </c>
      <c r="J33" s="87"/>
      <c r="K33" s="84">
        <f t="shared" si="0"/>
        <v>0</v>
      </c>
      <c r="L33" s="19"/>
    </row>
    <row r="34" spans="1:12" ht="14">
      <c r="A34" s="8">
        <v>126</v>
      </c>
      <c r="B34" s="112"/>
      <c r="C34" s="32"/>
      <c r="D34" s="32"/>
      <c r="E34" s="75"/>
      <c r="F34" s="75"/>
      <c r="G34" s="112" t="s">
        <v>434</v>
      </c>
      <c r="H34" s="32" t="s">
        <v>387</v>
      </c>
      <c r="I34" s="97">
        <v>9</v>
      </c>
      <c r="J34" s="87"/>
      <c r="K34" s="84">
        <f t="shared" si="0"/>
        <v>0</v>
      </c>
      <c r="L34" s="19"/>
    </row>
    <row r="35" spans="1:12" ht="14">
      <c r="A35" s="8">
        <v>127</v>
      </c>
      <c r="B35" s="112"/>
      <c r="C35" s="32"/>
      <c r="D35" s="32"/>
      <c r="E35" s="75"/>
      <c r="F35" s="75"/>
      <c r="G35" s="112" t="s">
        <v>435</v>
      </c>
      <c r="H35" s="32" t="s">
        <v>387</v>
      </c>
      <c r="I35" s="97">
        <v>6</v>
      </c>
      <c r="J35" s="87"/>
      <c r="K35" s="84">
        <f t="shared" si="0"/>
        <v>0</v>
      </c>
      <c r="L35" s="19"/>
    </row>
    <row r="36" spans="1:12" ht="14">
      <c r="A36" s="8">
        <v>128</v>
      </c>
      <c r="B36" s="112"/>
      <c r="C36" s="32"/>
      <c r="D36" s="32"/>
      <c r="E36" s="75"/>
      <c r="F36" s="75"/>
      <c r="G36" s="112" t="s">
        <v>436</v>
      </c>
      <c r="H36" s="32" t="s">
        <v>387</v>
      </c>
      <c r="I36" s="97">
        <v>10</v>
      </c>
      <c r="J36" s="87"/>
      <c r="K36" s="84">
        <f t="shared" si="0"/>
        <v>0</v>
      </c>
      <c r="L36" s="19"/>
    </row>
    <row r="37" spans="1:12" ht="14">
      <c r="A37" s="8">
        <v>129</v>
      </c>
      <c r="B37" s="112"/>
      <c r="C37" s="32"/>
      <c r="D37" s="32"/>
      <c r="E37" s="75"/>
      <c r="F37" s="75"/>
      <c r="G37" s="112" t="s">
        <v>437</v>
      </c>
      <c r="H37" s="32" t="s">
        <v>387</v>
      </c>
      <c r="I37" s="97">
        <v>8</v>
      </c>
      <c r="J37" s="87"/>
      <c r="K37" s="84">
        <f t="shared" si="0"/>
        <v>0</v>
      </c>
      <c r="L37" s="19"/>
    </row>
    <row r="38" spans="1:12" ht="14">
      <c r="A38" s="8">
        <v>130</v>
      </c>
      <c r="B38" s="112"/>
      <c r="C38" s="32"/>
      <c r="D38" s="79"/>
      <c r="E38" s="80"/>
      <c r="F38" s="75"/>
      <c r="G38" s="112" t="s">
        <v>438</v>
      </c>
      <c r="H38" s="144" t="s">
        <v>387</v>
      </c>
      <c r="I38" s="97">
        <v>1</v>
      </c>
      <c r="J38" s="87"/>
      <c r="K38" s="84">
        <f t="shared" si="0"/>
        <v>0</v>
      </c>
      <c r="L38" s="19"/>
    </row>
    <row r="39" spans="1:12" ht="14">
      <c r="A39" s="11"/>
      <c r="B39" s="6" t="s">
        <v>439</v>
      </c>
      <c r="C39" s="30"/>
      <c r="D39" s="30"/>
      <c r="E39" s="56"/>
      <c r="F39" s="56"/>
      <c r="G39" s="170" t="s">
        <v>440</v>
      </c>
      <c r="H39" s="21"/>
      <c r="I39" s="97"/>
      <c r="J39" s="87"/>
      <c r="K39" s="84"/>
      <c r="L39" s="19"/>
    </row>
    <row r="40" spans="1:12" ht="28">
      <c r="A40" s="8">
        <v>131</v>
      </c>
      <c r="B40" s="112" t="s">
        <v>386</v>
      </c>
      <c r="C40" s="32" t="s">
        <v>387</v>
      </c>
      <c r="D40" s="32">
        <v>1</v>
      </c>
      <c r="E40" s="75"/>
      <c r="F40" s="75">
        <f t="shared" si="1"/>
        <v>0</v>
      </c>
      <c r="G40" s="112" t="s">
        <v>441</v>
      </c>
      <c r="H40" s="32" t="s">
        <v>387</v>
      </c>
      <c r="I40" s="83">
        <v>1</v>
      </c>
      <c r="J40" s="87"/>
      <c r="K40" s="84">
        <f t="shared" ref="K40:K72" si="2">J40*I40</f>
        <v>0</v>
      </c>
      <c r="L40" s="19"/>
    </row>
    <row r="41" spans="1:12" ht="14">
      <c r="A41" s="8">
        <v>132</v>
      </c>
      <c r="B41" s="114" t="s">
        <v>442</v>
      </c>
      <c r="C41" s="32" t="s">
        <v>390</v>
      </c>
      <c r="D41" s="32">
        <v>1</v>
      </c>
      <c r="E41" s="75"/>
      <c r="F41" s="75">
        <f t="shared" si="1"/>
        <v>0</v>
      </c>
      <c r="G41" s="114" t="s">
        <v>443</v>
      </c>
      <c r="H41" s="32" t="s">
        <v>390</v>
      </c>
      <c r="I41" s="83">
        <v>1</v>
      </c>
      <c r="J41" s="87"/>
      <c r="K41" s="84">
        <f t="shared" si="2"/>
        <v>0</v>
      </c>
      <c r="L41" s="19"/>
    </row>
    <row r="42" spans="1:12" ht="28">
      <c r="A42" s="8">
        <v>133</v>
      </c>
      <c r="B42" s="112" t="s">
        <v>392</v>
      </c>
      <c r="C42" s="32" t="s">
        <v>41</v>
      </c>
      <c r="D42" s="81">
        <v>303</v>
      </c>
      <c r="E42" s="75"/>
      <c r="F42" s="75">
        <f t="shared" si="1"/>
        <v>0</v>
      </c>
      <c r="G42" s="112" t="s">
        <v>393</v>
      </c>
      <c r="H42" s="32" t="s">
        <v>41</v>
      </c>
      <c r="I42" s="83">
        <v>14</v>
      </c>
      <c r="J42" s="87"/>
      <c r="K42" s="84">
        <f t="shared" si="2"/>
        <v>0</v>
      </c>
      <c r="L42" s="19"/>
    </row>
    <row r="43" spans="1:12" ht="28">
      <c r="A43" s="8">
        <v>134</v>
      </c>
      <c r="B43" s="112"/>
      <c r="C43" s="32"/>
      <c r="D43" s="81"/>
      <c r="E43" s="75"/>
      <c r="F43" s="75"/>
      <c r="G43" s="112" t="s">
        <v>394</v>
      </c>
      <c r="H43" s="32" t="s">
        <v>41</v>
      </c>
      <c r="I43" s="83" t="s">
        <v>444</v>
      </c>
      <c r="J43" s="87"/>
      <c r="K43" s="84">
        <f t="shared" si="2"/>
        <v>0</v>
      </c>
      <c r="L43" s="19"/>
    </row>
    <row r="44" spans="1:12" ht="28">
      <c r="A44" s="8">
        <v>135</v>
      </c>
      <c r="B44" s="112"/>
      <c r="C44" s="32"/>
      <c r="D44" s="81"/>
      <c r="E44" s="75"/>
      <c r="F44" s="75"/>
      <c r="G44" s="112" t="s">
        <v>395</v>
      </c>
      <c r="H44" s="32" t="s">
        <v>41</v>
      </c>
      <c r="I44" s="83">
        <v>5</v>
      </c>
      <c r="J44" s="87"/>
      <c r="K44" s="84">
        <f t="shared" si="2"/>
        <v>0</v>
      </c>
      <c r="L44" s="19"/>
    </row>
    <row r="45" spans="1:12" ht="28">
      <c r="A45" s="8">
        <v>136</v>
      </c>
      <c r="B45" s="112"/>
      <c r="C45" s="32"/>
      <c r="D45" s="81"/>
      <c r="E45" s="75"/>
      <c r="F45" s="75"/>
      <c r="G45" s="112" t="s">
        <v>396</v>
      </c>
      <c r="H45" s="32" t="s">
        <v>41</v>
      </c>
      <c r="I45" s="83">
        <v>114</v>
      </c>
      <c r="J45" s="87"/>
      <c r="K45" s="84">
        <f t="shared" si="2"/>
        <v>0</v>
      </c>
      <c r="L45" s="19"/>
    </row>
    <row r="46" spans="1:12" ht="28">
      <c r="A46" s="8">
        <v>137</v>
      </c>
      <c r="B46" s="112" t="s">
        <v>397</v>
      </c>
      <c r="C46" s="32" t="s">
        <v>41</v>
      </c>
      <c r="D46" s="81">
        <v>34</v>
      </c>
      <c r="E46" s="75"/>
      <c r="F46" s="75">
        <f t="shared" si="1"/>
        <v>0</v>
      </c>
      <c r="G46" s="112" t="s">
        <v>398</v>
      </c>
      <c r="H46" s="32" t="s">
        <v>41</v>
      </c>
      <c r="I46" s="83">
        <v>4</v>
      </c>
      <c r="J46" s="87"/>
      <c r="K46" s="84">
        <f t="shared" si="2"/>
        <v>0</v>
      </c>
      <c r="L46" s="19"/>
    </row>
    <row r="47" spans="1:12" ht="28">
      <c r="A47" s="8">
        <v>138</v>
      </c>
      <c r="B47" s="112"/>
      <c r="C47" s="82"/>
      <c r="D47" s="81"/>
      <c r="E47" s="75"/>
      <c r="F47" s="75"/>
      <c r="G47" s="112" t="s">
        <v>399</v>
      </c>
      <c r="H47" s="82" t="s">
        <v>41</v>
      </c>
      <c r="I47" s="88">
        <v>25</v>
      </c>
      <c r="J47" s="87"/>
      <c r="K47" s="84">
        <f t="shared" si="2"/>
        <v>0</v>
      </c>
      <c r="L47" s="19"/>
    </row>
    <row r="48" spans="1:12" ht="28">
      <c r="A48" s="8">
        <v>139</v>
      </c>
      <c r="B48" s="112"/>
      <c r="C48" s="32"/>
      <c r="D48" s="81"/>
      <c r="E48" s="75"/>
      <c r="F48" s="75"/>
      <c r="G48" s="112" t="s">
        <v>400</v>
      </c>
      <c r="H48" s="32" t="s">
        <v>41</v>
      </c>
      <c r="I48" s="97">
        <v>3</v>
      </c>
      <c r="J48" s="87"/>
      <c r="K48" s="84">
        <f t="shared" si="2"/>
        <v>0</v>
      </c>
      <c r="L48" s="19"/>
    </row>
    <row r="49" spans="1:12" ht="28">
      <c r="A49" s="8">
        <v>140</v>
      </c>
      <c r="B49" s="112"/>
      <c r="C49" s="32"/>
      <c r="D49" s="81"/>
      <c r="E49" s="75"/>
      <c r="F49" s="75"/>
      <c r="G49" s="112" t="s">
        <v>401</v>
      </c>
      <c r="H49" s="32" t="s">
        <v>41</v>
      </c>
      <c r="I49" s="97">
        <v>2</v>
      </c>
      <c r="J49" s="87"/>
      <c r="K49" s="84">
        <f t="shared" si="2"/>
        <v>0</v>
      </c>
      <c r="L49" s="19"/>
    </row>
    <row r="50" spans="1:12" ht="14">
      <c r="A50" s="8">
        <v>141</v>
      </c>
      <c r="B50" s="112" t="s">
        <v>445</v>
      </c>
      <c r="C50" s="32" t="s">
        <v>387</v>
      </c>
      <c r="D50" s="81">
        <v>16</v>
      </c>
      <c r="E50" s="75"/>
      <c r="F50" s="75">
        <f t="shared" si="1"/>
        <v>0</v>
      </c>
      <c r="G50" s="112" t="s">
        <v>405</v>
      </c>
      <c r="H50" s="32" t="s">
        <v>387</v>
      </c>
      <c r="I50" s="97">
        <v>16</v>
      </c>
      <c r="J50" s="87"/>
      <c r="K50" s="84">
        <f t="shared" si="2"/>
        <v>0</v>
      </c>
      <c r="L50" s="19"/>
    </row>
    <row r="51" spans="1:12" ht="28">
      <c r="A51" s="8">
        <v>142</v>
      </c>
      <c r="B51" s="112" t="s">
        <v>446</v>
      </c>
      <c r="C51" s="32" t="s">
        <v>387</v>
      </c>
      <c r="D51" s="81">
        <v>3</v>
      </c>
      <c r="E51" s="75"/>
      <c r="F51" s="75">
        <f t="shared" si="1"/>
        <v>0</v>
      </c>
      <c r="G51" s="112" t="s">
        <v>447</v>
      </c>
      <c r="H51" s="32" t="s">
        <v>387</v>
      </c>
      <c r="I51" s="97">
        <v>3</v>
      </c>
      <c r="J51" s="87"/>
      <c r="K51" s="84">
        <f t="shared" si="2"/>
        <v>0</v>
      </c>
      <c r="L51" s="19"/>
    </row>
    <row r="52" spans="1:12" ht="14">
      <c r="A52" s="8">
        <v>143</v>
      </c>
      <c r="B52" s="112" t="s">
        <v>448</v>
      </c>
      <c r="C52" s="32" t="s">
        <v>387</v>
      </c>
      <c r="D52" s="31">
        <v>4</v>
      </c>
      <c r="E52" s="75"/>
      <c r="F52" s="75">
        <f t="shared" si="1"/>
        <v>0</v>
      </c>
      <c r="G52" s="112" t="s">
        <v>449</v>
      </c>
      <c r="H52" s="32" t="s">
        <v>387</v>
      </c>
      <c r="I52" s="97">
        <v>4</v>
      </c>
      <c r="J52" s="87"/>
      <c r="K52" s="84">
        <f t="shared" si="2"/>
        <v>0</v>
      </c>
      <c r="L52" s="19"/>
    </row>
    <row r="53" spans="1:12" ht="14">
      <c r="A53" s="8">
        <v>144</v>
      </c>
      <c r="B53" s="112" t="s">
        <v>409</v>
      </c>
      <c r="C53" s="32" t="s">
        <v>387</v>
      </c>
      <c r="D53" s="32">
        <v>1</v>
      </c>
      <c r="E53" s="75"/>
      <c r="F53" s="75">
        <f t="shared" si="1"/>
        <v>0</v>
      </c>
      <c r="G53" s="112" t="s">
        <v>450</v>
      </c>
      <c r="H53" s="32" t="s">
        <v>387</v>
      </c>
      <c r="I53" s="97">
        <v>1</v>
      </c>
      <c r="J53" s="87"/>
      <c r="K53" s="84">
        <f t="shared" si="2"/>
        <v>0</v>
      </c>
      <c r="L53" s="19"/>
    </row>
    <row r="54" spans="1:12" ht="28">
      <c r="A54" s="8">
        <v>145</v>
      </c>
      <c r="B54" s="112" t="s">
        <v>451</v>
      </c>
      <c r="C54" s="32" t="s">
        <v>387</v>
      </c>
      <c r="D54" s="32">
        <v>12</v>
      </c>
      <c r="E54" s="75"/>
      <c r="F54" s="75">
        <f t="shared" si="1"/>
        <v>0</v>
      </c>
      <c r="G54" s="112" t="s">
        <v>452</v>
      </c>
      <c r="H54" s="32" t="s">
        <v>387</v>
      </c>
      <c r="I54" s="97">
        <v>2</v>
      </c>
      <c r="J54" s="87"/>
      <c r="K54" s="84">
        <f t="shared" si="2"/>
        <v>0</v>
      </c>
      <c r="L54" s="19"/>
    </row>
    <row r="55" spans="1:12" ht="28">
      <c r="A55" s="8">
        <v>146</v>
      </c>
      <c r="B55" s="112"/>
      <c r="C55" s="32"/>
      <c r="D55" s="32"/>
      <c r="E55" s="75"/>
      <c r="F55" s="75"/>
      <c r="G55" s="112" t="s">
        <v>453</v>
      </c>
      <c r="H55" s="32" t="s">
        <v>387</v>
      </c>
      <c r="I55" s="97">
        <v>2</v>
      </c>
      <c r="J55" s="87"/>
      <c r="K55" s="84">
        <f t="shared" si="2"/>
        <v>0</v>
      </c>
      <c r="L55" s="19"/>
    </row>
    <row r="56" spans="1:12" ht="28">
      <c r="A56" s="8">
        <v>147</v>
      </c>
      <c r="B56" s="112"/>
      <c r="C56" s="32"/>
      <c r="D56" s="32"/>
      <c r="E56" s="75"/>
      <c r="F56" s="75"/>
      <c r="G56" s="112" t="s">
        <v>454</v>
      </c>
      <c r="H56" s="32" t="s">
        <v>387</v>
      </c>
      <c r="I56" s="97">
        <v>2</v>
      </c>
      <c r="J56" s="87"/>
      <c r="K56" s="84">
        <f t="shared" si="2"/>
        <v>0</v>
      </c>
      <c r="L56" s="19"/>
    </row>
    <row r="57" spans="1:12" ht="28">
      <c r="A57" s="8">
        <v>148</v>
      </c>
      <c r="B57" s="112"/>
      <c r="C57" s="32"/>
      <c r="D57" s="31"/>
      <c r="E57" s="75"/>
      <c r="F57" s="75"/>
      <c r="G57" s="112" t="s">
        <v>455</v>
      </c>
      <c r="H57" s="32" t="s">
        <v>387</v>
      </c>
      <c r="I57" s="97">
        <v>4</v>
      </c>
      <c r="J57" s="87"/>
      <c r="K57" s="84">
        <f t="shared" si="2"/>
        <v>0</v>
      </c>
      <c r="L57" s="19"/>
    </row>
    <row r="58" spans="1:12" ht="14">
      <c r="A58" s="8">
        <v>149</v>
      </c>
      <c r="B58" s="112"/>
      <c r="C58" s="32"/>
      <c r="D58" s="31"/>
      <c r="E58" s="75"/>
      <c r="F58" s="75"/>
      <c r="G58" s="112" t="s">
        <v>456</v>
      </c>
      <c r="H58" s="32" t="s">
        <v>387</v>
      </c>
      <c r="I58" s="97" t="s">
        <v>415</v>
      </c>
      <c r="J58" s="87"/>
      <c r="K58" s="84">
        <f t="shared" si="2"/>
        <v>0</v>
      </c>
      <c r="L58" s="19"/>
    </row>
    <row r="59" spans="1:12" ht="28">
      <c r="A59" s="8">
        <v>150</v>
      </c>
      <c r="B59" s="112" t="s">
        <v>420</v>
      </c>
      <c r="C59" s="32" t="s">
        <v>387</v>
      </c>
      <c r="D59" s="31">
        <v>6</v>
      </c>
      <c r="E59" s="75"/>
      <c r="F59" s="75">
        <f t="shared" si="1"/>
        <v>0</v>
      </c>
      <c r="G59" s="112" t="s">
        <v>457</v>
      </c>
      <c r="H59" s="32" t="s">
        <v>387</v>
      </c>
      <c r="I59" s="97">
        <v>2</v>
      </c>
      <c r="J59" s="87"/>
      <c r="K59" s="84">
        <f t="shared" si="2"/>
        <v>0</v>
      </c>
      <c r="L59" s="19"/>
    </row>
    <row r="60" spans="1:12" ht="28">
      <c r="A60" s="8">
        <v>151</v>
      </c>
      <c r="B60" s="112"/>
      <c r="C60" s="32"/>
      <c r="D60" s="31"/>
      <c r="E60" s="75"/>
      <c r="F60" s="75"/>
      <c r="G60" s="112" t="s">
        <v>458</v>
      </c>
      <c r="H60" s="32" t="s">
        <v>387</v>
      </c>
      <c r="I60" s="97">
        <v>2</v>
      </c>
      <c r="J60" s="87"/>
      <c r="K60" s="84">
        <f t="shared" si="2"/>
        <v>0</v>
      </c>
      <c r="L60" s="19"/>
    </row>
    <row r="61" spans="1:12" ht="28">
      <c r="A61" s="8">
        <v>152</v>
      </c>
      <c r="B61" s="112"/>
      <c r="C61" s="32"/>
      <c r="D61" s="31"/>
      <c r="E61" s="75"/>
      <c r="F61" s="75"/>
      <c r="G61" s="112" t="s">
        <v>459</v>
      </c>
      <c r="H61" s="32" t="s">
        <v>387</v>
      </c>
      <c r="I61" s="97">
        <v>2</v>
      </c>
      <c r="J61" s="87"/>
      <c r="K61" s="84">
        <f t="shared" si="2"/>
        <v>0</v>
      </c>
      <c r="L61" s="19"/>
    </row>
    <row r="62" spans="1:12" ht="14">
      <c r="A62" s="8">
        <v>153</v>
      </c>
      <c r="B62" s="112" t="s">
        <v>460</v>
      </c>
      <c r="C62" s="32" t="s">
        <v>387</v>
      </c>
      <c r="D62" s="32">
        <v>6</v>
      </c>
      <c r="E62" s="75"/>
      <c r="F62" s="75">
        <f t="shared" si="1"/>
        <v>0</v>
      </c>
      <c r="G62" s="112" t="s">
        <v>461</v>
      </c>
      <c r="H62" s="32" t="s">
        <v>387</v>
      </c>
      <c r="I62" s="97">
        <v>4</v>
      </c>
      <c r="J62" s="87"/>
      <c r="K62" s="84">
        <f t="shared" si="2"/>
        <v>0</v>
      </c>
      <c r="L62" s="19"/>
    </row>
    <row r="63" spans="1:12" ht="14">
      <c r="A63" s="8">
        <v>154</v>
      </c>
      <c r="B63" s="112"/>
      <c r="C63" s="32"/>
      <c r="D63" s="32"/>
      <c r="E63" s="75"/>
      <c r="F63" s="75"/>
      <c r="G63" s="112" t="s">
        <v>462</v>
      </c>
      <c r="H63" s="32" t="s">
        <v>387</v>
      </c>
      <c r="I63" s="97" t="s">
        <v>415</v>
      </c>
      <c r="J63" s="87"/>
      <c r="K63" s="84">
        <f t="shared" si="2"/>
        <v>0</v>
      </c>
      <c r="L63" s="19"/>
    </row>
    <row r="64" spans="1:12" ht="28">
      <c r="A64" s="8">
        <v>155</v>
      </c>
      <c r="B64" s="112" t="s">
        <v>463</v>
      </c>
      <c r="C64" s="32" t="s">
        <v>41</v>
      </c>
      <c r="D64" s="32">
        <v>38</v>
      </c>
      <c r="E64" s="75"/>
      <c r="F64" s="75">
        <f t="shared" si="1"/>
        <v>0</v>
      </c>
      <c r="G64" s="112" t="s">
        <v>464</v>
      </c>
      <c r="H64" s="32" t="s">
        <v>41</v>
      </c>
      <c r="I64" s="97">
        <v>38</v>
      </c>
      <c r="J64" s="87"/>
      <c r="K64" s="84">
        <f t="shared" si="2"/>
        <v>0</v>
      </c>
      <c r="L64" s="19"/>
    </row>
    <row r="65" spans="1:12" ht="28">
      <c r="A65" s="8">
        <v>156</v>
      </c>
      <c r="B65" s="112" t="s">
        <v>428</v>
      </c>
      <c r="C65" s="32" t="s">
        <v>41</v>
      </c>
      <c r="D65" s="32">
        <v>94</v>
      </c>
      <c r="E65" s="75"/>
      <c r="F65" s="75">
        <f t="shared" si="1"/>
        <v>0</v>
      </c>
      <c r="G65" s="112" t="s">
        <v>429</v>
      </c>
      <c r="H65" s="32" t="s">
        <v>41</v>
      </c>
      <c r="I65" s="97">
        <v>94</v>
      </c>
      <c r="J65" s="87"/>
      <c r="K65" s="84">
        <f t="shared" si="2"/>
        <v>0</v>
      </c>
      <c r="L65" s="19"/>
    </row>
    <row r="66" spans="1:12" ht="14">
      <c r="A66" s="8">
        <v>157</v>
      </c>
      <c r="B66" s="112" t="s">
        <v>430</v>
      </c>
      <c r="C66" s="32" t="s">
        <v>390</v>
      </c>
      <c r="D66" s="32">
        <v>1</v>
      </c>
      <c r="E66" s="75"/>
      <c r="F66" s="75">
        <f t="shared" si="1"/>
        <v>0</v>
      </c>
      <c r="G66" s="112" t="s">
        <v>431</v>
      </c>
      <c r="H66" s="32" t="s">
        <v>387</v>
      </c>
      <c r="I66" s="97">
        <v>164</v>
      </c>
      <c r="J66" s="87"/>
      <c r="K66" s="84">
        <f t="shared" si="2"/>
        <v>0</v>
      </c>
      <c r="L66" s="19"/>
    </row>
    <row r="67" spans="1:12" ht="14">
      <c r="A67" s="8">
        <v>158</v>
      </c>
      <c r="B67" s="112"/>
      <c r="C67" s="32"/>
      <c r="D67" s="32"/>
      <c r="E67" s="75"/>
      <c r="F67" s="75"/>
      <c r="G67" s="112" t="s">
        <v>432</v>
      </c>
      <c r="H67" s="32" t="s">
        <v>387</v>
      </c>
      <c r="I67" s="97">
        <v>164</v>
      </c>
      <c r="J67" s="87"/>
      <c r="K67" s="84">
        <f t="shared" si="2"/>
        <v>0</v>
      </c>
      <c r="L67" s="19"/>
    </row>
    <row r="68" spans="1:12" ht="14">
      <c r="A68" s="8">
        <v>159</v>
      </c>
      <c r="B68" s="112"/>
      <c r="C68" s="32"/>
      <c r="D68" s="32"/>
      <c r="E68" s="75"/>
      <c r="F68" s="75"/>
      <c r="G68" s="112" t="s">
        <v>465</v>
      </c>
      <c r="H68" s="32" t="s">
        <v>387</v>
      </c>
      <c r="I68" s="97">
        <v>6</v>
      </c>
      <c r="J68" s="87"/>
      <c r="K68" s="84">
        <f t="shared" si="2"/>
        <v>0</v>
      </c>
      <c r="L68" s="19"/>
    </row>
    <row r="69" spans="1:12" ht="14">
      <c r="A69" s="8">
        <v>160</v>
      </c>
      <c r="B69" s="112"/>
      <c r="C69" s="32"/>
      <c r="D69" s="32"/>
      <c r="E69" s="75"/>
      <c r="F69" s="75"/>
      <c r="G69" s="112" t="s">
        <v>435</v>
      </c>
      <c r="H69" s="32" t="s">
        <v>387</v>
      </c>
      <c r="I69" s="97">
        <v>3</v>
      </c>
      <c r="J69" s="87"/>
      <c r="K69" s="84">
        <f t="shared" si="2"/>
        <v>0</v>
      </c>
      <c r="L69" s="19"/>
    </row>
    <row r="70" spans="1:12" ht="14">
      <c r="A70" s="8">
        <v>161</v>
      </c>
      <c r="B70" s="112"/>
      <c r="C70" s="32"/>
      <c r="D70" s="32"/>
      <c r="E70" s="75"/>
      <c r="F70" s="75"/>
      <c r="G70" s="112" t="s">
        <v>437</v>
      </c>
      <c r="H70" s="32" t="s">
        <v>387</v>
      </c>
      <c r="I70" s="148" t="s">
        <v>418</v>
      </c>
      <c r="J70" s="87"/>
      <c r="K70" s="84">
        <f t="shared" si="2"/>
        <v>0</v>
      </c>
      <c r="L70" s="19"/>
    </row>
    <row r="71" spans="1:12" ht="14">
      <c r="A71" s="8">
        <v>162</v>
      </c>
      <c r="B71" s="112"/>
      <c r="C71" s="32"/>
      <c r="D71" s="32"/>
      <c r="E71" s="75"/>
      <c r="F71" s="75"/>
      <c r="G71" s="112" t="s">
        <v>466</v>
      </c>
      <c r="H71" s="32" t="s">
        <v>387</v>
      </c>
      <c r="I71" s="148">
        <v>6</v>
      </c>
      <c r="J71" s="87"/>
      <c r="K71" s="84">
        <f t="shared" si="2"/>
        <v>0</v>
      </c>
      <c r="L71" s="19"/>
    </row>
    <row r="72" spans="1:12" ht="14">
      <c r="A72" s="8">
        <v>163</v>
      </c>
      <c r="B72" s="112"/>
      <c r="C72" s="32"/>
      <c r="D72" s="77"/>
      <c r="E72" s="75"/>
      <c r="F72" s="75"/>
      <c r="G72" s="112" t="s">
        <v>438</v>
      </c>
      <c r="H72" s="32" t="s">
        <v>387</v>
      </c>
      <c r="I72" s="148">
        <v>1</v>
      </c>
      <c r="J72" s="87"/>
      <c r="K72" s="84">
        <f t="shared" si="2"/>
        <v>0</v>
      </c>
      <c r="L72" s="19"/>
    </row>
    <row r="73" spans="1:12" ht="14">
      <c r="A73" s="8"/>
      <c r="B73" s="115" t="s">
        <v>467</v>
      </c>
      <c r="C73" s="32"/>
      <c r="D73" s="77"/>
      <c r="E73" s="75"/>
      <c r="F73" s="75"/>
      <c r="G73" s="115" t="s">
        <v>468</v>
      </c>
      <c r="H73" s="32"/>
      <c r="I73" s="148"/>
      <c r="J73" s="87"/>
      <c r="K73" s="84"/>
      <c r="L73" s="19"/>
    </row>
    <row r="74" spans="1:12" ht="14">
      <c r="A74" s="8">
        <v>164</v>
      </c>
      <c r="B74" s="112" t="s">
        <v>469</v>
      </c>
      <c r="C74" s="32" t="s">
        <v>387</v>
      </c>
      <c r="D74" s="83">
        <v>1</v>
      </c>
      <c r="E74" s="75"/>
      <c r="F74" s="84">
        <f t="shared" ref="F74:F81" si="3">E74*D74</f>
        <v>0</v>
      </c>
      <c r="G74" s="112" t="s">
        <v>470</v>
      </c>
      <c r="H74" s="32" t="s">
        <v>387</v>
      </c>
      <c r="I74" s="83">
        <v>1</v>
      </c>
      <c r="J74" s="87"/>
      <c r="K74" s="84">
        <f t="shared" ref="K74:K84" si="4">J74*I74</f>
        <v>0</v>
      </c>
      <c r="L74" s="19"/>
    </row>
    <row r="75" spans="1:12" ht="28">
      <c r="A75" s="8">
        <v>165</v>
      </c>
      <c r="B75" s="112" t="s">
        <v>471</v>
      </c>
      <c r="C75" s="32" t="s">
        <v>41</v>
      </c>
      <c r="D75" s="83">
        <v>13</v>
      </c>
      <c r="E75" s="75"/>
      <c r="F75" s="84">
        <f t="shared" si="3"/>
        <v>0</v>
      </c>
      <c r="G75" s="112" t="s">
        <v>395</v>
      </c>
      <c r="H75" s="32" t="s">
        <v>41</v>
      </c>
      <c r="I75" s="83">
        <v>13</v>
      </c>
      <c r="J75" s="87"/>
      <c r="K75" s="84">
        <f t="shared" si="4"/>
        <v>0</v>
      </c>
      <c r="L75" s="19"/>
    </row>
    <row r="76" spans="1:12" ht="28">
      <c r="A76" s="8">
        <v>166</v>
      </c>
      <c r="B76" s="112" t="s">
        <v>472</v>
      </c>
      <c r="C76" s="32" t="s">
        <v>41</v>
      </c>
      <c r="D76" s="83">
        <v>4</v>
      </c>
      <c r="E76" s="75"/>
      <c r="F76" s="84">
        <f t="shared" si="3"/>
        <v>0</v>
      </c>
      <c r="G76" s="112" t="s">
        <v>400</v>
      </c>
      <c r="H76" s="32" t="s">
        <v>41</v>
      </c>
      <c r="I76" s="83">
        <v>4</v>
      </c>
      <c r="J76" s="87"/>
      <c r="K76" s="84">
        <f t="shared" si="4"/>
        <v>0</v>
      </c>
      <c r="L76" s="19"/>
    </row>
    <row r="77" spans="1:12" ht="14">
      <c r="A77" s="8">
        <v>167</v>
      </c>
      <c r="B77" s="112" t="s">
        <v>473</v>
      </c>
      <c r="C77" s="32" t="s">
        <v>387</v>
      </c>
      <c r="D77" s="83">
        <v>5</v>
      </c>
      <c r="E77" s="75"/>
      <c r="F77" s="84">
        <f t="shared" si="3"/>
        <v>0</v>
      </c>
      <c r="G77" s="112" t="s">
        <v>405</v>
      </c>
      <c r="H77" s="32" t="s">
        <v>387</v>
      </c>
      <c r="I77" s="83">
        <v>5</v>
      </c>
      <c r="J77" s="87"/>
      <c r="K77" s="84">
        <f t="shared" si="4"/>
        <v>0</v>
      </c>
      <c r="L77" s="19"/>
    </row>
    <row r="78" spans="1:12" ht="14">
      <c r="A78" s="8">
        <v>168</v>
      </c>
      <c r="B78" s="112" t="s">
        <v>474</v>
      </c>
      <c r="C78" s="32" t="s">
        <v>387</v>
      </c>
      <c r="D78" s="83">
        <v>1</v>
      </c>
      <c r="E78" s="75"/>
      <c r="F78" s="84">
        <f t="shared" si="3"/>
        <v>0</v>
      </c>
      <c r="G78" s="112" t="s">
        <v>475</v>
      </c>
      <c r="H78" s="32" t="s">
        <v>387</v>
      </c>
      <c r="I78" s="83">
        <v>1</v>
      </c>
      <c r="J78" s="87"/>
      <c r="K78" s="84">
        <f t="shared" si="4"/>
        <v>0</v>
      </c>
      <c r="L78" s="19"/>
    </row>
    <row r="79" spans="1:12" ht="14">
      <c r="A79" s="8">
        <v>169</v>
      </c>
      <c r="B79" s="112" t="s">
        <v>476</v>
      </c>
      <c r="C79" s="32" t="s">
        <v>387</v>
      </c>
      <c r="D79" s="83">
        <v>5</v>
      </c>
      <c r="E79" s="75"/>
      <c r="F79" s="84">
        <f t="shared" si="3"/>
        <v>0</v>
      </c>
      <c r="G79" s="112" t="s">
        <v>477</v>
      </c>
      <c r="H79" s="32" t="s">
        <v>387</v>
      </c>
      <c r="I79" s="83">
        <v>5</v>
      </c>
      <c r="J79" s="87"/>
      <c r="K79" s="84">
        <f t="shared" si="4"/>
        <v>0</v>
      </c>
      <c r="L79" s="19"/>
    </row>
    <row r="80" spans="1:12" ht="14">
      <c r="A80" s="8">
        <v>170</v>
      </c>
      <c r="B80" s="112" t="s">
        <v>478</v>
      </c>
      <c r="C80" s="32" t="s">
        <v>387</v>
      </c>
      <c r="D80" s="83">
        <v>5</v>
      </c>
      <c r="E80" s="75"/>
      <c r="F80" s="84">
        <f t="shared" si="3"/>
        <v>0</v>
      </c>
      <c r="G80" s="112" t="s">
        <v>462</v>
      </c>
      <c r="H80" s="32" t="s">
        <v>387</v>
      </c>
      <c r="I80" s="83">
        <v>5</v>
      </c>
      <c r="J80" s="87"/>
      <c r="K80" s="84">
        <f t="shared" si="4"/>
        <v>0</v>
      </c>
      <c r="L80" s="19"/>
    </row>
    <row r="81" spans="1:12" ht="14">
      <c r="A81" s="8">
        <v>171</v>
      </c>
      <c r="B81" s="112" t="s">
        <v>430</v>
      </c>
      <c r="C81" s="32" t="s">
        <v>390</v>
      </c>
      <c r="D81" s="83" t="s">
        <v>418</v>
      </c>
      <c r="E81" s="75"/>
      <c r="F81" s="84">
        <f t="shared" si="3"/>
        <v>0</v>
      </c>
      <c r="G81" s="112" t="s">
        <v>431</v>
      </c>
      <c r="H81" s="32" t="s">
        <v>387</v>
      </c>
      <c r="I81" s="83">
        <v>12</v>
      </c>
      <c r="J81" s="87"/>
      <c r="K81" s="84">
        <f t="shared" si="4"/>
        <v>0</v>
      </c>
      <c r="L81" s="19"/>
    </row>
    <row r="82" spans="1:12" ht="14">
      <c r="A82" s="8">
        <v>172</v>
      </c>
      <c r="B82" s="112"/>
      <c r="C82" s="32"/>
      <c r="D82" s="83"/>
      <c r="E82" s="75"/>
      <c r="F82" s="84"/>
      <c r="G82" s="112" t="s">
        <v>432</v>
      </c>
      <c r="H82" s="32" t="s">
        <v>387</v>
      </c>
      <c r="I82" s="83">
        <v>12</v>
      </c>
      <c r="J82" s="87"/>
      <c r="K82" s="84">
        <f t="shared" si="4"/>
        <v>0</v>
      </c>
      <c r="L82" s="19"/>
    </row>
    <row r="83" spans="1:12" ht="14">
      <c r="A83" s="8">
        <v>173</v>
      </c>
      <c r="B83" s="112"/>
      <c r="C83" s="32"/>
      <c r="D83" s="83"/>
      <c r="E83" s="75"/>
      <c r="F83" s="84"/>
      <c r="G83" s="112" t="s">
        <v>433</v>
      </c>
      <c r="H83" s="32" t="s">
        <v>387</v>
      </c>
      <c r="I83" s="83">
        <v>6</v>
      </c>
      <c r="J83" s="87"/>
      <c r="K83" s="84">
        <f t="shared" si="4"/>
        <v>0</v>
      </c>
      <c r="L83" s="19"/>
    </row>
    <row r="84" spans="1:12" ht="14">
      <c r="A84" s="8">
        <v>174</v>
      </c>
      <c r="B84" s="112"/>
      <c r="C84" s="32"/>
      <c r="D84" s="83"/>
      <c r="E84" s="75"/>
      <c r="F84" s="84"/>
      <c r="G84" s="112" t="s">
        <v>434</v>
      </c>
      <c r="H84" s="32" t="s">
        <v>387</v>
      </c>
      <c r="I84" s="83">
        <v>6</v>
      </c>
      <c r="J84" s="87"/>
      <c r="K84" s="84">
        <f t="shared" si="4"/>
        <v>0</v>
      </c>
      <c r="L84" s="19"/>
    </row>
    <row r="85" spans="1:12" ht="14">
      <c r="A85" s="8"/>
      <c r="B85" s="116"/>
      <c r="C85" s="85"/>
      <c r="D85" s="85"/>
      <c r="E85" s="86"/>
      <c r="F85" s="86"/>
      <c r="G85" s="170" t="s">
        <v>479</v>
      </c>
      <c r="H85" s="21"/>
      <c r="I85" s="149"/>
      <c r="J85" s="87"/>
      <c r="K85" s="84"/>
      <c r="L85" s="19"/>
    </row>
    <row r="86" spans="1:12" ht="14">
      <c r="A86" s="8"/>
      <c r="B86" s="117" t="s">
        <v>480</v>
      </c>
      <c r="C86" s="85"/>
      <c r="D86" s="85"/>
      <c r="E86" s="86"/>
      <c r="F86" s="86"/>
      <c r="G86" s="170" t="s">
        <v>481</v>
      </c>
      <c r="H86" s="21"/>
      <c r="I86" s="149"/>
      <c r="J86" s="87"/>
      <c r="K86" s="84"/>
      <c r="L86" s="19"/>
    </row>
    <row r="87" spans="1:12">
      <c r="A87" s="8"/>
      <c r="B87" s="116"/>
      <c r="C87" s="85"/>
      <c r="D87" s="85"/>
      <c r="E87" s="86"/>
      <c r="F87" s="86"/>
      <c r="G87" s="170"/>
      <c r="H87" s="21"/>
      <c r="I87" s="149"/>
      <c r="J87" s="87"/>
      <c r="K87" s="84"/>
      <c r="L87" s="19"/>
    </row>
    <row r="88" spans="1:12" ht="14">
      <c r="A88" s="8">
        <v>175</v>
      </c>
      <c r="B88" s="112" t="s">
        <v>482</v>
      </c>
      <c r="C88" s="32" t="s">
        <v>387</v>
      </c>
      <c r="D88" s="83">
        <v>1</v>
      </c>
      <c r="E88" s="87"/>
      <c r="F88" s="84">
        <f t="shared" ref="F88:F144" si="5">E88*D88</f>
        <v>0</v>
      </c>
      <c r="G88" s="112" t="s">
        <v>483</v>
      </c>
      <c r="H88" s="32" t="s">
        <v>387</v>
      </c>
      <c r="I88" s="83">
        <v>1</v>
      </c>
      <c r="J88" s="87"/>
      <c r="K88" s="84">
        <f t="shared" ref="K88:K144" si="6">J88*I88</f>
        <v>0</v>
      </c>
      <c r="L88" s="281" t="s">
        <v>858</v>
      </c>
    </row>
    <row r="89" spans="1:12" ht="14">
      <c r="A89" s="8">
        <v>176</v>
      </c>
      <c r="B89" s="112" t="s">
        <v>484</v>
      </c>
      <c r="C89" s="32" t="s">
        <v>387</v>
      </c>
      <c r="D89" s="83" t="s">
        <v>485</v>
      </c>
      <c r="E89" s="87"/>
      <c r="F89" s="84">
        <f t="shared" si="5"/>
        <v>0</v>
      </c>
      <c r="G89" s="112" t="s">
        <v>486</v>
      </c>
      <c r="H89" s="32" t="s">
        <v>387</v>
      </c>
      <c r="I89" s="83">
        <v>6</v>
      </c>
      <c r="J89" s="87"/>
      <c r="K89" s="84">
        <f t="shared" si="6"/>
        <v>0</v>
      </c>
      <c r="L89" s="281" t="s">
        <v>858</v>
      </c>
    </row>
    <row r="90" spans="1:12" ht="14">
      <c r="A90" s="8">
        <v>177</v>
      </c>
      <c r="B90" s="112"/>
      <c r="C90" s="32"/>
      <c r="D90" s="83"/>
      <c r="E90" s="87"/>
      <c r="F90" s="84"/>
      <c r="G90" s="112" t="s">
        <v>487</v>
      </c>
      <c r="H90" s="32" t="s">
        <v>387</v>
      </c>
      <c r="I90" s="83">
        <v>3</v>
      </c>
      <c r="J90" s="87"/>
      <c r="K90" s="84">
        <f t="shared" si="6"/>
        <v>0</v>
      </c>
      <c r="L90" s="281" t="s">
        <v>858</v>
      </c>
    </row>
    <row r="91" spans="1:12" ht="14">
      <c r="A91" s="8">
        <v>178</v>
      </c>
      <c r="B91" s="112"/>
      <c r="C91" s="32"/>
      <c r="D91" s="83"/>
      <c r="E91" s="87"/>
      <c r="F91" s="84"/>
      <c r="G91" s="112" t="s">
        <v>488</v>
      </c>
      <c r="H91" s="32" t="s">
        <v>387</v>
      </c>
      <c r="I91" s="83">
        <v>2</v>
      </c>
      <c r="J91" s="87"/>
      <c r="K91" s="84">
        <f t="shared" si="6"/>
        <v>0</v>
      </c>
      <c r="L91" s="281" t="s">
        <v>858</v>
      </c>
    </row>
    <row r="92" spans="1:12" ht="14">
      <c r="A92" s="8">
        <v>179</v>
      </c>
      <c r="B92" s="112"/>
      <c r="C92" s="32"/>
      <c r="D92" s="83"/>
      <c r="E92" s="87"/>
      <c r="F92" s="84"/>
      <c r="G92" s="112" t="s">
        <v>489</v>
      </c>
      <c r="H92" s="32" t="s">
        <v>387</v>
      </c>
      <c r="I92" s="83">
        <v>2</v>
      </c>
      <c r="J92" s="87"/>
      <c r="K92" s="84">
        <f t="shared" si="6"/>
        <v>0</v>
      </c>
      <c r="L92" s="281" t="s">
        <v>858</v>
      </c>
    </row>
    <row r="93" spans="1:12" ht="14">
      <c r="A93" s="8">
        <v>180</v>
      </c>
      <c r="B93" s="112" t="s">
        <v>490</v>
      </c>
      <c r="C93" s="32" t="s">
        <v>387</v>
      </c>
      <c r="D93" s="83">
        <v>2</v>
      </c>
      <c r="E93" s="87"/>
      <c r="F93" s="84">
        <f t="shared" si="5"/>
        <v>0</v>
      </c>
      <c r="G93" s="112" t="s">
        <v>491</v>
      </c>
      <c r="H93" s="32" t="s">
        <v>387</v>
      </c>
      <c r="I93" s="83">
        <v>2</v>
      </c>
      <c r="J93" s="87"/>
      <c r="K93" s="84">
        <f t="shared" si="6"/>
        <v>0</v>
      </c>
      <c r="L93" s="19"/>
    </row>
    <row r="94" spans="1:12" ht="28">
      <c r="A94" s="8">
        <v>181</v>
      </c>
      <c r="B94" s="112" t="s">
        <v>492</v>
      </c>
      <c r="C94" s="32" t="s">
        <v>387</v>
      </c>
      <c r="D94" s="83" t="s">
        <v>493</v>
      </c>
      <c r="E94" s="87"/>
      <c r="F94" s="84">
        <f t="shared" si="5"/>
        <v>0</v>
      </c>
      <c r="G94" s="112" t="s">
        <v>494</v>
      </c>
      <c r="H94" s="32" t="s">
        <v>387</v>
      </c>
      <c r="I94" s="83">
        <v>2</v>
      </c>
      <c r="J94" s="87"/>
      <c r="K94" s="84">
        <f t="shared" si="6"/>
        <v>0</v>
      </c>
      <c r="L94" s="281" t="s">
        <v>858</v>
      </c>
    </row>
    <row r="95" spans="1:12" ht="14">
      <c r="A95" s="8">
        <v>182</v>
      </c>
      <c r="B95" s="118"/>
      <c r="C95" s="32"/>
      <c r="D95" s="83"/>
      <c r="E95" s="87"/>
      <c r="F95" s="84"/>
      <c r="G95" s="118" t="s">
        <v>495</v>
      </c>
      <c r="H95" s="32" t="s">
        <v>387</v>
      </c>
      <c r="I95" s="83">
        <v>2</v>
      </c>
      <c r="J95" s="87"/>
      <c r="K95" s="84">
        <f t="shared" si="6"/>
        <v>0</v>
      </c>
      <c r="L95" s="281" t="s">
        <v>858</v>
      </c>
    </row>
    <row r="96" spans="1:12" ht="14">
      <c r="A96" s="8">
        <v>183</v>
      </c>
      <c r="B96" s="118"/>
      <c r="C96" s="32"/>
      <c r="D96" s="83"/>
      <c r="E96" s="87"/>
      <c r="F96" s="84"/>
      <c r="G96" s="118" t="s">
        <v>496</v>
      </c>
      <c r="H96" s="32" t="s">
        <v>387</v>
      </c>
      <c r="I96" s="83">
        <v>2</v>
      </c>
      <c r="J96" s="87"/>
      <c r="K96" s="84">
        <f t="shared" si="6"/>
        <v>0</v>
      </c>
      <c r="L96" s="281" t="s">
        <v>858</v>
      </c>
    </row>
    <row r="97" spans="1:12" ht="14">
      <c r="A97" s="8">
        <v>184</v>
      </c>
      <c r="B97" s="118"/>
      <c r="C97" s="32"/>
      <c r="D97" s="83"/>
      <c r="E97" s="87"/>
      <c r="F97" s="84"/>
      <c r="G97" s="118" t="s">
        <v>497</v>
      </c>
      <c r="H97" s="32" t="s">
        <v>387</v>
      </c>
      <c r="I97" s="83">
        <v>13</v>
      </c>
      <c r="J97" s="87"/>
      <c r="K97" s="84">
        <f t="shared" si="6"/>
        <v>0</v>
      </c>
      <c r="L97" s="281" t="s">
        <v>858</v>
      </c>
    </row>
    <row r="98" spans="1:12" ht="28">
      <c r="A98" s="8">
        <v>185</v>
      </c>
      <c r="B98" s="112" t="s">
        <v>498</v>
      </c>
      <c r="C98" s="32" t="s">
        <v>41</v>
      </c>
      <c r="D98" s="83" t="s">
        <v>499</v>
      </c>
      <c r="E98" s="87"/>
      <c r="F98" s="84">
        <f t="shared" si="5"/>
        <v>0</v>
      </c>
      <c r="G98" s="112" t="s">
        <v>393</v>
      </c>
      <c r="H98" s="32" t="s">
        <v>41</v>
      </c>
      <c r="I98" s="83">
        <v>7</v>
      </c>
      <c r="J98" s="87"/>
      <c r="K98" s="84">
        <f t="shared" si="6"/>
        <v>0</v>
      </c>
      <c r="L98" s="19"/>
    </row>
    <row r="99" spans="1:12" ht="28">
      <c r="A99" s="8">
        <v>186</v>
      </c>
      <c r="B99" s="112"/>
      <c r="C99" s="32"/>
      <c r="D99" s="83"/>
      <c r="E99" s="87"/>
      <c r="F99" s="84"/>
      <c r="G99" s="112" t="s">
        <v>395</v>
      </c>
      <c r="H99" s="32" t="s">
        <v>41</v>
      </c>
      <c r="I99" s="83">
        <v>29</v>
      </c>
      <c r="J99" s="87"/>
      <c r="K99" s="84">
        <f t="shared" si="6"/>
        <v>0</v>
      </c>
      <c r="L99" s="19"/>
    </row>
    <row r="100" spans="1:12" ht="28">
      <c r="A100" s="8">
        <v>187</v>
      </c>
      <c r="B100" s="112"/>
      <c r="C100" s="32"/>
      <c r="D100" s="83"/>
      <c r="E100" s="87"/>
      <c r="F100" s="84"/>
      <c r="G100" s="112" t="s">
        <v>396</v>
      </c>
      <c r="H100" s="32" t="s">
        <v>41</v>
      </c>
      <c r="I100" s="83">
        <v>13</v>
      </c>
      <c r="J100" s="87"/>
      <c r="K100" s="84">
        <f t="shared" si="6"/>
        <v>0</v>
      </c>
      <c r="L100" s="19"/>
    </row>
    <row r="101" spans="1:12" ht="28">
      <c r="A101" s="8">
        <v>188</v>
      </c>
      <c r="B101" s="112" t="s">
        <v>500</v>
      </c>
      <c r="C101" s="32" t="s">
        <v>41</v>
      </c>
      <c r="D101" s="83" t="s">
        <v>501</v>
      </c>
      <c r="E101" s="87"/>
      <c r="F101" s="84">
        <f t="shared" si="5"/>
        <v>0</v>
      </c>
      <c r="G101" s="112" t="s">
        <v>400</v>
      </c>
      <c r="H101" s="32" t="s">
        <v>41</v>
      </c>
      <c r="I101" s="83">
        <v>5</v>
      </c>
      <c r="J101" s="87"/>
      <c r="K101" s="84">
        <f t="shared" si="6"/>
        <v>0</v>
      </c>
      <c r="L101" s="19"/>
    </row>
    <row r="102" spans="1:12" ht="28">
      <c r="A102" s="8">
        <v>189</v>
      </c>
      <c r="B102" s="112"/>
      <c r="C102" s="32"/>
      <c r="D102" s="83"/>
      <c r="E102" s="87"/>
      <c r="F102" s="84"/>
      <c r="G102" s="112" t="s">
        <v>401</v>
      </c>
      <c r="H102" s="32" t="s">
        <v>41</v>
      </c>
      <c r="I102" s="83">
        <v>5</v>
      </c>
      <c r="J102" s="87"/>
      <c r="K102" s="84">
        <f t="shared" si="6"/>
        <v>0</v>
      </c>
      <c r="L102" s="19"/>
    </row>
    <row r="103" spans="1:12" ht="28">
      <c r="A103" s="8">
        <v>190</v>
      </c>
      <c r="B103" s="112"/>
      <c r="C103" s="32"/>
      <c r="D103" s="83"/>
      <c r="E103" s="87"/>
      <c r="F103" s="84"/>
      <c r="G103" s="112" t="s">
        <v>398</v>
      </c>
      <c r="H103" s="32" t="s">
        <v>41</v>
      </c>
      <c r="I103" s="83">
        <v>3</v>
      </c>
      <c r="J103" s="87"/>
      <c r="K103" s="84">
        <f t="shared" si="6"/>
        <v>0</v>
      </c>
      <c r="L103" s="19"/>
    </row>
    <row r="104" spans="1:12" ht="28">
      <c r="A104" s="8">
        <v>191</v>
      </c>
      <c r="B104" s="119"/>
      <c r="C104" s="82"/>
      <c r="D104" s="88"/>
      <c r="E104" s="87"/>
      <c r="F104" s="84"/>
      <c r="G104" s="119" t="s">
        <v>399</v>
      </c>
      <c r="H104" s="82" t="s">
        <v>41</v>
      </c>
      <c r="I104" s="88">
        <v>4</v>
      </c>
      <c r="J104" s="87"/>
      <c r="K104" s="84">
        <f t="shared" si="6"/>
        <v>0</v>
      </c>
      <c r="L104" s="19"/>
    </row>
    <row r="105" spans="1:12" ht="14">
      <c r="A105" s="8">
        <v>192</v>
      </c>
      <c r="B105" s="112" t="s">
        <v>502</v>
      </c>
      <c r="C105" s="32" t="s">
        <v>387</v>
      </c>
      <c r="D105" s="83">
        <v>14</v>
      </c>
      <c r="E105" s="87"/>
      <c r="F105" s="84">
        <f t="shared" si="5"/>
        <v>0</v>
      </c>
      <c r="G105" s="112" t="s">
        <v>503</v>
      </c>
      <c r="H105" s="32" t="s">
        <v>387</v>
      </c>
      <c r="I105" s="83">
        <v>14</v>
      </c>
      <c r="J105" s="87"/>
      <c r="K105" s="84">
        <f t="shared" si="6"/>
        <v>0</v>
      </c>
      <c r="L105" s="19"/>
    </row>
    <row r="106" spans="1:12" ht="28">
      <c r="A106" s="8">
        <v>193</v>
      </c>
      <c r="B106" s="112" t="s">
        <v>504</v>
      </c>
      <c r="C106" s="32" t="s">
        <v>387</v>
      </c>
      <c r="D106" s="83" t="s">
        <v>505</v>
      </c>
      <c r="E106" s="87"/>
      <c r="F106" s="84">
        <f t="shared" si="5"/>
        <v>0</v>
      </c>
      <c r="G106" s="112" t="s">
        <v>506</v>
      </c>
      <c r="H106" s="32" t="s">
        <v>387</v>
      </c>
      <c r="I106" s="83">
        <v>2</v>
      </c>
      <c r="J106" s="87"/>
      <c r="K106" s="84">
        <f t="shared" si="6"/>
        <v>0</v>
      </c>
      <c r="L106" s="19"/>
    </row>
    <row r="107" spans="1:12" ht="28">
      <c r="A107" s="8">
        <v>194</v>
      </c>
      <c r="B107" s="112"/>
      <c r="C107" s="32"/>
      <c r="D107" s="83"/>
      <c r="E107" s="87"/>
      <c r="F107" s="84"/>
      <c r="G107" s="112" t="s">
        <v>507</v>
      </c>
      <c r="H107" s="32" t="s">
        <v>387</v>
      </c>
      <c r="I107" s="83">
        <v>2</v>
      </c>
      <c r="J107" s="87"/>
      <c r="K107" s="84">
        <f t="shared" si="6"/>
        <v>0</v>
      </c>
      <c r="L107" s="19"/>
    </row>
    <row r="108" spans="1:12" ht="28">
      <c r="A108" s="8">
        <v>195</v>
      </c>
      <c r="B108" s="112"/>
      <c r="C108" s="32"/>
      <c r="D108" s="83"/>
      <c r="E108" s="87"/>
      <c r="F108" s="84"/>
      <c r="G108" s="112" t="s">
        <v>508</v>
      </c>
      <c r="H108" s="32" t="s">
        <v>387</v>
      </c>
      <c r="I108" s="83">
        <v>2</v>
      </c>
      <c r="J108" s="87"/>
      <c r="K108" s="84">
        <f t="shared" si="6"/>
        <v>0</v>
      </c>
      <c r="L108" s="19"/>
    </row>
    <row r="109" spans="1:12" ht="28">
      <c r="A109" s="8">
        <v>196</v>
      </c>
      <c r="B109" s="112"/>
      <c r="C109" s="32"/>
      <c r="D109" s="83"/>
      <c r="E109" s="87"/>
      <c r="F109" s="84"/>
      <c r="G109" s="112" t="s">
        <v>509</v>
      </c>
      <c r="H109" s="32" t="s">
        <v>387</v>
      </c>
      <c r="I109" s="83">
        <v>10</v>
      </c>
      <c r="J109" s="87"/>
      <c r="K109" s="84">
        <f t="shared" si="6"/>
        <v>0</v>
      </c>
      <c r="L109" s="19"/>
    </row>
    <row r="110" spans="1:12" ht="28">
      <c r="A110" s="8">
        <v>197</v>
      </c>
      <c r="B110" s="112"/>
      <c r="C110" s="32"/>
      <c r="D110" s="83"/>
      <c r="E110" s="87"/>
      <c r="F110" s="84"/>
      <c r="G110" s="112" t="s">
        <v>510</v>
      </c>
      <c r="H110" s="32" t="s">
        <v>387</v>
      </c>
      <c r="I110" s="83">
        <v>6</v>
      </c>
      <c r="J110" s="87"/>
      <c r="K110" s="84">
        <f t="shared" si="6"/>
        <v>0</v>
      </c>
      <c r="L110" s="19"/>
    </row>
    <row r="111" spans="1:12" ht="28">
      <c r="A111" s="8">
        <v>198</v>
      </c>
      <c r="B111" s="112"/>
      <c r="C111" s="32"/>
      <c r="D111" s="83"/>
      <c r="E111" s="87"/>
      <c r="F111" s="84"/>
      <c r="G111" s="112" t="s">
        <v>511</v>
      </c>
      <c r="H111" s="32" t="s">
        <v>387</v>
      </c>
      <c r="I111" s="83">
        <v>2</v>
      </c>
      <c r="J111" s="87"/>
      <c r="K111" s="84">
        <f t="shared" si="6"/>
        <v>0</v>
      </c>
      <c r="L111" s="19"/>
    </row>
    <row r="112" spans="1:12" ht="28">
      <c r="A112" s="8">
        <v>199</v>
      </c>
      <c r="B112" s="112" t="s">
        <v>460</v>
      </c>
      <c r="C112" s="32" t="s">
        <v>387</v>
      </c>
      <c r="D112" s="83" t="s">
        <v>512</v>
      </c>
      <c r="E112" s="87"/>
      <c r="F112" s="84">
        <f t="shared" si="5"/>
        <v>0</v>
      </c>
      <c r="G112" s="112" t="s">
        <v>513</v>
      </c>
      <c r="H112" s="32" t="s">
        <v>387</v>
      </c>
      <c r="I112" s="83">
        <v>2</v>
      </c>
      <c r="J112" s="87"/>
      <c r="K112" s="84">
        <f t="shared" si="6"/>
        <v>0</v>
      </c>
      <c r="L112" s="19"/>
    </row>
    <row r="113" spans="1:12" ht="14">
      <c r="A113" s="8">
        <v>200</v>
      </c>
      <c r="B113" s="112"/>
      <c r="C113" s="32"/>
      <c r="D113" s="83"/>
      <c r="E113" s="87"/>
      <c r="F113" s="84"/>
      <c r="G113" s="112" t="s">
        <v>514</v>
      </c>
      <c r="H113" s="32" t="s">
        <v>387</v>
      </c>
      <c r="I113" s="83">
        <v>2</v>
      </c>
      <c r="J113" s="87"/>
      <c r="K113" s="84">
        <f t="shared" si="6"/>
        <v>0</v>
      </c>
      <c r="L113" s="19"/>
    </row>
    <row r="114" spans="1:12" ht="28">
      <c r="A114" s="8">
        <v>201</v>
      </c>
      <c r="B114" s="112" t="s">
        <v>420</v>
      </c>
      <c r="C114" s="32" t="s">
        <v>387</v>
      </c>
      <c r="D114" s="83" t="s">
        <v>515</v>
      </c>
      <c r="E114" s="87"/>
      <c r="F114" s="84">
        <f t="shared" si="5"/>
        <v>0</v>
      </c>
      <c r="G114" s="112" t="s">
        <v>516</v>
      </c>
      <c r="H114" s="32" t="s">
        <v>387</v>
      </c>
      <c r="I114" s="83">
        <v>2</v>
      </c>
      <c r="J114" s="87"/>
      <c r="K114" s="84">
        <f t="shared" si="6"/>
        <v>0</v>
      </c>
      <c r="L114" s="19"/>
    </row>
    <row r="115" spans="1:12" ht="28">
      <c r="A115" s="8">
        <v>202</v>
      </c>
      <c r="B115" s="112"/>
      <c r="C115" s="32"/>
      <c r="D115" s="83"/>
      <c r="E115" s="87"/>
      <c r="F115" s="84"/>
      <c r="G115" s="112" t="s">
        <v>517</v>
      </c>
      <c r="H115" s="32" t="s">
        <v>387</v>
      </c>
      <c r="I115" s="83">
        <v>16</v>
      </c>
      <c r="J115" s="87"/>
      <c r="K115" s="84">
        <f t="shared" si="6"/>
        <v>0</v>
      </c>
      <c r="L115" s="19"/>
    </row>
    <row r="116" spans="1:12" ht="28">
      <c r="A116" s="8">
        <v>203</v>
      </c>
      <c r="B116" s="112"/>
      <c r="C116" s="32"/>
      <c r="D116" s="83"/>
      <c r="E116" s="87"/>
      <c r="F116" s="84"/>
      <c r="G116" s="112" t="s">
        <v>518</v>
      </c>
      <c r="H116" s="32" t="s">
        <v>387</v>
      </c>
      <c r="I116" s="83">
        <v>2</v>
      </c>
      <c r="J116" s="87"/>
      <c r="K116" s="84">
        <f t="shared" si="6"/>
        <v>0</v>
      </c>
      <c r="L116" s="19"/>
    </row>
    <row r="117" spans="1:12" ht="28">
      <c r="A117" s="8">
        <v>204</v>
      </c>
      <c r="B117" s="112" t="s">
        <v>519</v>
      </c>
      <c r="C117" s="32" t="s">
        <v>387</v>
      </c>
      <c r="D117" s="83" t="s">
        <v>422</v>
      </c>
      <c r="E117" s="87"/>
      <c r="F117" s="84">
        <f t="shared" si="5"/>
        <v>0</v>
      </c>
      <c r="G117" s="112" t="s">
        <v>520</v>
      </c>
      <c r="H117" s="32" t="s">
        <v>387</v>
      </c>
      <c r="I117" s="83">
        <v>8</v>
      </c>
      <c r="J117" s="87"/>
      <c r="K117" s="84">
        <f t="shared" si="6"/>
        <v>0</v>
      </c>
      <c r="L117" s="19"/>
    </row>
    <row r="118" spans="1:12" ht="28">
      <c r="A118" s="8">
        <v>205</v>
      </c>
      <c r="B118" s="112"/>
      <c r="C118" s="32"/>
      <c r="D118" s="83"/>
      <c r="E118" s="87"/>
      <c r="F118" s="84"/>
      <c r="G118" s="112" t="s">
        <v>521</v>
      </c>
      <c r="H118" s="32" t="s">
        <v>387</v>
      </c>
      <c r="I118" s="83">
        <v>2</v>
      </c>
      <c r="J118" s="87"/>
      <c r="K118" s="84">
        <f t="shared" si="6"/>
        <v>0</v>
      </c>
      <c r="L118" s="19"/>
    </row>
    <row r="119" spans="1:12" ht="14">
      <c r="A119" s="8">
        <v>206</v>
      </c>
      <c r="B119" s="112" t="s">
        <v>522</v>
      </c>
      <c r="C119" s="32" t="s">
        <v>41</v>
      </c>
      <c r="D119" s="83">
        <v>76</v>
      </c>
      <c r="E119" s="87"/>
      <c r="F119" s="84">
        <f t="shared" si="5"/>
        <v>0</v>
      </c>
      <c r="G119" s="112" t="s">
        <v>429</v>
      </c>
      <c r="H119" s="32" t="s">
        <v>41</v>
      </c>
      <c r="I119" s="83">
        <v>76</v>
      </c>
      <c r="J119" s="87"/>
      <c r="K119" s="84">
        <f t="shared" si="6"/>
        <v>0</v>
      </c>
      <c r="L119" s="19"/>
    </row>
    <row r="120" spans="1:12" ht="14">
      <c r="A120" s="8">
        <v>207</v>
      </c>
      <c r="B120" s="112" t="s">
        <v>430</v>
      </c>
      <c r="C120" s="32" t="s">
        <v>161</v>
      </c>
      <c r="D120" s="83" t="s">
        <v>418</v>
      </c>
      <c r="E120" s="87"/>
      <c r="F120" s="84">
        <f t="shared" si="5"/>
        <v>0</v>
      </c>
      <c r="G120" s="112" t="s">
        <v>431</v>
      </c>
      <c r="H120" s="32" t="s">
        <v>387</v>
      </c>
      <c r="I120" s="83">
        <v>70</v>
      </c>
      <c r="J120" s="87"/>
      <c r="K120" s="84">
        <f t="shared" si="6"/>
        <v>0</v>
      </c>
      <c r="L120" s="19"/>
    </row>
    <row r="121" spans="1:12" ht="14">
      <c r="A121" s="8">
        <v>208</v>
      </c>
      <c r="B121" s="112"/>
      <c r="C121" s="32"/>
      <c r="D121" s="83"/>
      <c r="E121" s="87"/>
      <c r="F121" s="84"/>
      <c r="G121" s="112" t="s">
        <v>432</v>
      </c>
      <c r="H121" s="32" t="s">
        <v>387</v>
      </c>
      <c r="I121" s="83">
        <v>70</v>
      </c>
      <c r="J121" s="87"/>
      <c r="K121" s="84">
        <f t="shared" si="6"/>
        <v>0</v>
      </c>
      <c r="L121" s="19"/>
    </row>
    <row r="122" spans="1:12" ht="14">
      <c r="A122" s="8">
        <v>209</v>
      </c>
      <c r="B122" s="112"/>
      <c r="C122" s="32"/>
      <c r="D122" s="83"/>
      <c r="E122" s="87"/>
      <c r="F122" s="84"/>
      <c r="G122" s="112" t="s">
        <v>435</v>
      </c>
      <c r="H122" s="32" t="s">
        <v>387</v>
      </c>
      <c r="I122" s="83">
        <v>9</v>
      </c>
      <c r="J122" s="87"/>
      <c r="K122" s="84">
        <f t="shared" si="6"/>
        <v>0</v>
      </c>
      <c r="L122" s="19"/>
    </row>
    <row r="123" spans="1:12" ht="14">
      <c r="A123" s="8">
        <v>210</v>
      </c>
      <c r="B123" s="112"/>
      <c r="C123" s="32"/>
      <c r="D123" s="83"/>
      <c r="E123" s="87"/>
      <c r="F123" s="84"/>
      <c r="G123" s="112" t="s">
        <v>436</v>
      </c>
      <c r="H123" s="32" t="s">
        <v>387</v>
      </c>
      <c r="I123" s="83">
        <v>13</v>
      </c>
      <c r="J123" s="87"/>
      <c r="K123" s="84">
        <f t="shared" si="6"/>
        <v>0</v>
      </c>
      <c r="L123" s="19"/>
    </row>
    <row r="124" spans="1:12" ht="14">
      <c r="A124" s="8">
        <v>211</v>
      </c>
      <c r="B124" s="112"/>
      <c r="C124" s="32"/>
      <c r="D124" s="83"/>
      <c r="E124" s="87"/>
      <c r="F124" s="84"/>
      <c r="G124" s="112" t="s">
        <v>437</v>
      </c>
      <c r="H124" s="32" t="s">
        <v>387</v>
      </c>
      <c r="I124" s="83">
        <v>7</v>
      </c>
      <c r="J124" s="87"/>
      <c r="K124" s="84">
        <f t="shared" si="6"/>
        <v>0</v>
      </c>
      <c r="L124" s="19"/>
    </row>
    <row r="125" spans="1:12" ht="14">
      <c r="A125" s="8">
        <v>212</v>
      </c>
      <c r="B125" s="112" t="s">
        <v>523</v>
      </c>
      <c r="C125" s="32" t="s">
        <v>74</v>
      </c>
      <c r="D125" s="83" t="s">
        <v>524</v>
      </c>
      <c r="E125" s="87"/>
      <c r="F125" s="84">
        <f t="shared" si="5"/>
        <v>0</v>
      </c>
      <c r="G125" s="112" t="s">
        <v>525</v>
      </c>
      <c r="H125" s="32" t="s">
        <v>74</v>
      </c>
      <c r="I125" s="83">
        <v>86</v>
      </c>
      <c r="J125" s="87"/>
      <c r="K125" s="84">
        <f t="shared" si="6"/>
        <v>0</v>
      </c>
      <c r="L125" s="19"/>
    </row>
    <row r="126" spans="1:12" ht="14">
      <c r="A126" s="8">
        <v>213</v>
      </c>
      <c r="B126" s="112"/>
      <c r="C126" s="32"/>
      <c r="D126" s="83"/>
      <c r="E126" s="87"/>
      <c r="F126" s="84"/>
      <c r="G126" s="112" t="s">
        <v>526</v>
      </c>
      <c r="H126" s="32" t="s">
        <v>74</v>
      </c>
      <c r="I126" s="83">
        <v>72</v>
      </c>
      <c r="J126" s="87"/>
      <c r="K126" s="84">
        <f t="shared" si="6"/>
        <v>0</v>
      </c>
      <c r="L126" s="19"/>
    </row>
    <row r="127" spans="1:12" ht="14">
      <c r="A127" s="8">
        <v>214</v>
      </c>
      <c r="B127" s="112"/>
      <c r="C127" s="32"/>
      <c r="D127" s="83"/>
      <c r="E127" s="87"/>
      <c r="F127" s="84"/>
      <c r="G127" s="112" t="s">
        <v>527</v>
      </c>
      <c r="H127" s="32" t="s">
        <v>74</v>
      </c>
      <c r="I127" s="83">
        <v>84</v>
      </c>
      <c r="J127" s="87"/>
      <c r="K127" s="84">
        <f t="shared" si="6"/>
        <v>0</v>
      </c>
      <c r="L127" s="19"/>
    </row>
    <row r="128" spans="1:12" ht="14">
      <c r="A128" s="8">
        <v>215</v>
      </c>
      <c r="B128" s="112"/>
      <c r="C128" s="32"/>
      <c r="D128" s="83"/>
      <c r="E128" s="87"/>
      <c r="F128" s="84"/>
      <c r="G128" s="112" t="s">
        <v>528</v>
      </c>
      <c r="H128" s="32" t="s">
        <v>74</v>
      </c>
      <c r="I128" s="83">
        <v>60</v>
      </c>
      <c r="J128" s="87"/>
      <c r="K128" s="84">
        <f t="shared" si="6"/>
        <v>0</v>
      </c>
      <c r="L128" s="19"/>
    </row>
    <row r="129" spans="1:12" ht="14">
      <c r="A129" s="8">
        <v>216</v>
      </c>
      <c r="B129" s="120"/>
      <c r="C129" s="83"/>
      <c r="D129" s="83"/>
      <c r="E129" s="87"/>
      <c r="F129" s="84"/>
      <c r="G129" s="120" t="s">
        <v>529</v>
      </c>
      <c r="H129" s="83" t="s">
        <v>74</v>
      </c>
      <c r="I129" s="83">
        <v>20</v>
      </c>
      <c r="J129" s="87"/>
      <c r="K129" s="84">
        <f t="shared" si="6"/>
        <v>0</v>
      </c>
      <c r="L129" s="19"/>
    </row>
    <row r="130" spans="1:12" ht="14">
      <c r="A130" s="8">
        <v>217</v>
      </c>
      <c r="B130" s="120"/>
      <c r="C130" s="83"/>
      <c r="D130" s="83"/>
      <c r="E130" s="87"/>
      <c r="F130" s="84"/>
      <c r="G130" s="120" t="s">
        <v>530</v>
      </c>
      <c r="H130" s="83" t="s">
        <v>74</v>
      </c>
      <c r="I130" s="83">
        <v>35</v>
      </c>
      <c r="J130" s="87"/>
      <c r="K130" s="84">
        <f t="shared" si="6"/>
        <v>0</v>
      </c>
      <c r="L130" s="19"/>
    </row>
    <row r="131" spans="1:12" ht="14">
      <c r="A131" s="8">
        <v>218</v>
      </c>
      <c r="B131" s="120"/>
      <c r="C131" s="83"/>
      <c r="D131" s="83"/>
      <c r="E131" s="87"/>
      <c r="F131" s="84"/>
      <c r="G131" s="120" t="s">
        <v>531</v>
      </c>
      <c r="H131" s="83" t="s">
        <v>74</v>
      </c>
      <c r="I131" s="83">
        <v>14</v>
      </c>
      <c r="J131" s="87"/>
      <c r="K131" s="84">
        <f t="shared" si="6"/>
        <v>0</v>
      </c>
      <c r="L131" s="19"/>
    </row>
    <row r="132" spans="1:12" ht="14">
      <c r="A132" s="8">
        <v>219</v>
      </c>
      <c r="B132" s="120" t="s">
        <v>532</v>
      </c>
      <c r="C132" s="83" t="s">
        <v>387</v>
      </c>
      <c r="D132" s="83" t="s">
        <v>533</v>
      </c>
      <c r="E132" s="87"/>
      <c r="F132" s="84">
        <f t="shared" si="5"/>
        <v>0</v>
      </c>
      <c r="G132" s="120" t="s">
        <v>534</v>
      </c>
      <c r="H132" s="83" t="s">
        <v>387</v>
      </c>
      <c r="I132" s="83">
        <v>20</v>
      </c>
      <c r="J132" s="87"/>
      <c r="K132" s="84">
        <f t="shared" si="6"/>
        <v>0</v>
      </c>
      <c r="L132" s="19"/>
    </row>
    <row r="133" spans="1:12" ht="14">
      <c r="A133" s="8">
        <v>220</v>
      </c>
      <c r="B133" s="120"/>
      <c r="C133" s="83"/>
      <c r="D133" s="83"/>
      <c r="E133" s="87"/>
      <c r="F133" s="84"/>
      <c r="G133" s="120" t="s">
        <v>535</v>
      </c>
      <c r="H133" s="83" t="s">
        <v>387</v>
      </c>
      <c r="I133" s="83">
        <v>20</v>
      </c>
      <c r="J133" s="87"/>
      <c r="K133" s="84">
        <f t="shared" si="6"/>
        <v>0</v>
      </c>
      <c r="L133" s="19"/>
    </row>
    <row r="134" spans="1:12" ht="14">
      <c r="A134" s="8">
        <v>221</v>
      </c>
      <c r="B134" s="120"/>
      <c r="C134" s="83"/>
      <c r="D134" s="83"/>
      <c r="E134" s="87"/>
      <c r="F134" s="84"/>
      <c r="G134" s="120" t="s">
        <v>536</v>
      </c>
      <c r="H134" s="83" t="s">
        <v>387</v>
      </c>
      <c r="I134" s="83">
        <v>6</v>
      </c>
      <c r="J134" s="87"/>
      <c r="K134" s="84">
        <f t="shared" si="6"/>
        <v>0</v>
      </c>
      <c r="L134" s="19"/>
    </row>
    <row r="135" spans="1:12" ht="14">
      <c r="A135" s="8">
        <v>222</v>
      </c>
      <c r="B135" s="120" t="s">
        <v>537</v>
      </c>
      <c r="C135" s="83" t="s">
        <v>161</v>
      </c>
      <c r="D135" s="83">
        <v>1</v>
      </c>
      <c r="E135" s="87"/>
      <c r="F135" s="84">
        <f t="shared" si="5"/>
        <v>0</v>
      </c>
      <c r="G135" s="120" t="s">
        <v>538</v>
      </c>
      <c r="H135" s="83" t="s">
        <v>161</v>
      </c>
      <c r="I135" s="83">
        <v>1</v>
      </c>
      <c r="J135" s="87"/>
      <c r="K135" s="84">
        <f t="shared" si="6"/>
        <v>0</v>
      </c>
      <c r="L135" s="19"/>
    </row>
    <row r="136" spans="1:12" ht="28">
      <c r="A136" s="8">
        <v>223</v>
      </c>
      <c r="B136" s="120" t="s">
        <v>539</v>
      </c>
      <c r="C136" s="83" t="s">
        <v>74</v>
      </c>
      <c r="D136" s="83" t="s">
        <v>524</v>
      </c>
      <c r="E136" s="87"/>
      <c r="F136" s="84">
        <f t="shared" si="5"/>
        <v>0</v>
      </c>
      <c r="G136" s="120" t="s">
        <v>540</v>
      </c>
      <c r="H136" s="83" t="s">
        <v>74</v>
      </c>
      <c r="I136" s="83">
        <v>86</v>
      </c>
      <c r="J136" s="87"/>
      <c r="K136" s="84">
        <f t="shared" si="6"/>
        <v>0</v>
      </c>
      <c r="L136" s="19"/>
    </row>
    <row r="137" spans="1:12" ht="14">
      <c r="A137" s="8">
        <v>224</v>
      </c>
      <c r="B137" s="120"/>
      <c r="C137" s="83"/>
      <c r="D137" s="83"/>
      <c r="E137" s="87"/>
      <c r="F137" s="84"/>
      <c r="G137" s="120" t="s">
        <v>541</v>
      </c>
      <c r="H137" s="83" t="s">
        <v>74</v>
      </c>
      <c r="I137" s="83">
        <v>72</v>
      </c>
      <c r="J137" s="87"/>
      <c r="K137" s="84">
        <f t="shared" si="6"/>
        <v>0</v>
      </c>
      <c r="L137" s="19"/>
    </row>
    <row r="138" spans="1:12" ht="14">
      <c r="A138" s="8">
        <v>225</v>
      </c>
      <c r="B138" s="120"/>
      <c r="C138" s="83"/>
      <c r="D138" s="83"/>
      <c r="E138" s="87"/>
      <c r="F138" s="84"/>
      <c r="G138" s="120" t="s">
        <v>542</v>
      </c>
      <c r="H138" s="83" t="s">
        <v>74</v>
      </c>
      <c r="I138" s="83">
        <v>84</v>
      </c>
      <c r="J138" s="87"/>
      <c r="K138" s="84">
        <f t="shared" si="6"/>
        <v>0</v>
      </c>
      <c r="L138" s="19"/>
    </row>
    <row r="139" spans="1:12" ht="14">
      <c r="A139" s="8">
        <v>226</v>
      </c>
      <c r="B139" s="120"/>
      <c r="C139" s="83"/>
      <c r="D139" s="83"/>
      <c r="E139" s="87"/>
      <c r="F139" s="84"/>
      <c r="G139" s="120" t="s">
        <v>543</v>
      </c>
      <c r="H139" s="83" t="s">
        <v>74</v>
      </c>
      <c r="I139" s="83">
        <v>60</v>
      </c>
      <c r="J139" s="87"/>
      <c r="K139" s="84">
        <f t="shared" si="6"/>
        <v>0</v>
      </c>
      <c r="L139" s="19"/>
    </row>
    <row r="140" spans="1:12" ht="14">
      <c r="A140" s="8">
        <v>227</v>
      </c>
      <c r="B140" s="120"/>
      <c r="C140" s="83"/>
      <c r="D140" s="83"/>
      <c r="E140" s="87"/>
      <c r="F140" s="84"/>
      <c r="G140" s="120" t="s">
        <v>544</v>
      </c>
      <c r="H140" s="83" t="s">
        <v>74</v>
      </c>
      <c r="I140" s="83">
        <v>20</v>
      </c>
      <c r="J140" s="87"/>
      <c r="K140" s="84">
        <f t="shared" si="6"/>
        <v>0</v>
      </c>
      <c r="L140" s="19"/>
    </row>
    <row r="141" spans="1:12" ht="14">
      <c r="A141" s="8">
        <v>228</v>
      </c>
      <c r="B141" s="120"/>
      <c r="C141" s="83"/>
      <c r="D141" s="83"/>
      <c r="E141" s="87"/>
      <c r="F141" s="84"/>
      <c r="G141" s="120" t="s">
        <v>545</v>
      </c>
      <c r="H141" s="83" t="s">
        <v>74</v>
      </c>
      <c r="I141" s="83">
        <v>35</v>
      </c>
      <c r="J141" s="87"/>
      <c r="K141" s="84">
        <f t="shared" si="6"/>
        <v>0</v>
      </c>
      <c r="L141" s="19"/>
    </row>
    <row r="142" spans="1:12" ht="14">
      <c r="A142" s="8">
        <v>229</v>
      </c>
      <c r="B142" s="120"/>
      <c r="C142" s="83"/>
      <c r="D142" s="83"/>
      <c r="E142" s="87"/>
      <c r="F142" s="84"/>
      <c r="G142" s="120" t="s">
        <v>546</v>
      </c>
      <c r="H142" s="83" t="s">
        <v>74</v>
      </c>
      <c r="I142" s="83">
        <v>14</v>
      </c>
      <c r="J142" s="87"/>
      <c r="K142" s="84">
        <f t="shared" si="6"/>
        <v>0</v>
      </c>
      <c r="L142" s="19"/>
    </row>
    <row r="143" spans="1:12" ht="14">
      <c r="A143" s="8">
        <v>230</v>
      </c>
      <c r="B143" s="120" t="s">
        <v>547</v>
      </c>
      <c r="C143" s="83" t="s">
        <v>51</v>
      </c>
      <c r="D143" s="83" t="s">
        <v>548</v>
      </c>
      <c r="E143" s="87"/>
      <c r="F143" s="84">
        <f t="shared" si="5"/>
        <v>0</v>
      </c>
      <c r="G143" s="120" t="s">
        <v>547</v>
      </c>
      <c r="H143" s="83" t="s">
        <v>51</v>
      </c>
      <c r="I143" s="83" t="s">
        <v>548</v>
      </c>
      <c r="J143" s="87"/>
      <c r="K143" s="84">
        <f t="shared" si="6"/>
        <v>0</v>
      </c>
      <c r="L143" s="19"/>
    </row>
    <row r="144" spans="1:12" ht="28">
      <c r="A144" s="8">
        <v>231</v>
      </c>
      <c r="B144" s="120" t="s">
        <v>549</v>
      </c>
      <c r="C144" s="83" t="s">
        <v>387</v>
      </c>
      <c r="D144" s="83">
        <v>1</v>
      </c>
      <c r="E144" s="87"/>
      <c r="F144" s="84">
        <f t="shared" si="5"/>
        <v>0</v>
      </c>
      <c r="G144" s="120" t="s">
        <v>550</v>
      </c>
      <c r="H144" s="83" t="s">
        <v>387</v>
      </c>
      <c r="I144" s="83">
        <v>1</v>
      </c>
      <c r="J144" s="87"/>
      <c r="K144" s="84">
        <f t="shared" si="6"/>
        <v>0</v>
      </c>
      <c r="L144" s="19"/>
    </row>
    <row r="145" spans="1:12" ht="14">
      <c r="A145" s="8"/>
      <c r="B145" s="117" t="s">
        <v>551</v>
      </c>
      <c r="C145" s="85"/>
      <c r="D145" s="85"/>
      <c r="E145" s="86"/>
      <c r="F145" s="86"/>
      <c r="G145" s="170" t="s">
        <v>552</v>
      </c>
      <c r="H145" s="21"/>
      <c r="I145" s="150"/>
      <c r="J145" s="87"/>
      <c r="K145" s="84"/>
      <c r="L145" s="19"/>
    </row>
    <row r="146" spans="1:12" ht="28">
      <c r="A146" s="8">
        <v>232</v>
      </c>
      <c r="B146" s="112" t="s">
        <v>553</v>
      </c>
      <c r="C146" s="32" t="s">
        <v>387</v>
      </c>
      <c r="D146" s="32">
        <v>1</v>
      </c>
      <c r="E146" s="75"/>
      <c r="F146" s="84">
        <f>E146*D146</f>
        <v>0</v>
      </c>
      <c r="G146" s="112" t="s">
        <v>554</v>
      </c>
      <c r="H146" s="32" t="s">
        <v>387</v>
      </c>
      <c r="I146" s="83">
        <v>1</v>
      </c>
      <c r="J146" s="87"/>
      <c r="K146" s="84">
        <f>J146*I146</f>
        <v>0</v>
      </c>
      <c r="L146" s="19"/>
    </row>
    <row r="147" spans="1:12" ht="14">
      <c r="A147" s="8">
        <v>233</v>
      </c>
      <c r="B147" s="112" t="s">
        <v>555</v>
      </c>
      <c r="C147" s="32" t="s">
        <v>387</v>
      </c>
      <c r="D147" s="77">
        <v>1</v>
      </c>
      <c r="E147" s="75"/>
      <c r="F147" s="84">
        <f>E147*D147</f>
        <v>0</v>
      </c>
      <c r="G147" s="112" t="s">
        <v>556</v>
      </c>
      <c r="H147" s="32" t="s">
        <v>387</v>
      </c>
      <c r="I147" s="83">
        <v>1</v>
      </c>
      <c r="J147" s="87"/>
      <c r="K147" s="84">
        <f>J147*I147</f>
        <v>0</v>
      </c>
      <c r="L147" s="19"/>
    </row>
    <row r="148" spans="1:12" ht="14">
      <c r="A148" s="8">
        <v>234</v>
      </c>
      <c r="B148" s="112"/>
      <c r="C148" s="32"/>
      <c r="D148" s="77"/>
      <c r="E148" s="75"/>
      <c r="F148" s="84"/>
      <c r="G148" s="112" t="s">
        <v>557</v>
      </c>
      <c r="H148" s="32"/>
      <c r="I148" s="83"/>
      <c r="J148" s="87"/>
      <c r="K148" s="84"/>
      <c r="L148" s="19"/>
    </row>
    <row r="149" spans="1:12" ht="14">
      <c r="A149" s="8">
        <v>235</v>
      </c>
      <c r="B149" s="112"/>
      <c r="C149" s="32"/>
      <c r="D149" s="77"/>
      <c r="E149" s="75"/>
      <c r="F149" s="84"/>
      <c r="G149" s="112" t="s">
        <v>558</v>
      </c>
      <c r="H149" s="32"/>
      <c r="I149" s="83"/>
      <c r="J149" s="87"/>
      <c r="K149" s="84"/>
      <c r="L149" s="19"/>
    </row>
    <row r="150" spans="1:12" ht="14">
      <c r="A150" s="8">
        <v>236</v>
      </c>
      <c r="B150" s="112"/>
      <c r="C150" s="32"/>
      <c r="D150" s="77"/>
      <c r="E150" s="75"/>
      <c r="F150" s="84"/>
      <c r="G150" s="112" t="s">
        <v>559</v>
      </c>
      <c r="H150" s="32"/>
      <c r="I150" s="83"/>
      <c r="J150" s="87"/>
      <c r="K150" s="84"/>
      <c r="L150" s="19"/>
    </row>
    <row r="151" spans="1:12" ht="14">
      <c r="A151" s="8">
        <v>237</v>
      </c>
      <c r="B151" s="112"/>
      <c r="C151" s="32"/>
      <c r="D151" s="31"/>
      <c r="E151" s="75"/>
      <c r="F151" s="84"/>
      <c r="G151" s="112" t="s">
        <v>560</v>
      </c>
      <c r="H151" s="32"/>
      <c r="I151" s="83"/>
      <c r="J151" s="87"/>
      <c r="K151" s="84"/>
      <c r="L151" s="19"/>
    </row>
    <row r="152" spans="1:12" ht="14">
      <c r="A152" s="8">
        <v>238</v>
      </c>
      <c r="B152" s="112" t="s">
        <v>523</v>
      </c>
      <c r="C152" s="32" t="s">
        <v>74</v>
      </c>
      <c r="D152" s="83" t="s">
        <v>444</v>
      </c>
      <c r="E152" s="75"/>
      <c r="F152" s="84">
        <f>E152*D152</f>
        <v>0</v>
      </c>
      <c r="G152" s="112" t="s">
        <v>561</v>
      </c>
      <c r="H152" s="32" t="s">
        <v>74</v>
      </c>
      <c r="I152" s="83">
        <v>35</v>
      </c>
      <c r="J152" s="87"/>
      <c r="K152" s="84">
        <f>J152*I152</f>
        <v>0</v>
      </c>
      <c r="L152" s="19"/>
    </row>
    <row r="153" spans="1:12" ht="14">
      <c r="A153" s="8">
        <v>239</v>
      </c>
      <c r="B153" s="112"/>
      <c r="C153" s="32"/>
      <c r="D153" s="83"/>
      <c r="E153" s="75"/>
      <c r="F153" s="84"/>
      <c r="G153" s="112" t="s">
        <v>562</v>
      </c>
      <c r="H153" s="32" t="s">
        <v>74</v>
      </c>
      <c r="I153" s="83">
        <v>35</v>
      </c>
      <c r="J153" s="87"/>
      <c r="K153" s="84">
        <f>J153*I153</f>
        <v>0</v>
      </c>
      <c r="L153" s="19"/>
    </row>
    <row r="154" spans="1:12" ht="28">
      <c r="A154" s="8">
        <v>240</v>
      </c>
      <c r="B154" s="112" t="s">
        <v>563</v>
      </c>
      <c r="C154" s="32" t="s">
        <v>74</v>
      </c>
      <c r="D154" s="83" t="s">
        <v>444</v>
      </c>
      <c r="E154" s="75"/>
      <c r="F154" s="84">
        <f>E154*D154</f>
        <v>0</v>
      </c>
      <c r="G154" s="112" t="s">
        <v>540</v>
      </c>
      <c r="H154" s="32" t="s">
        <v>74</v>
      </c>
      <c r="I154" s="83">
        <v>35</v>
      </c>
      <c r="J154" s="87"/>
      <c r="K154" s="84">
        <f>J154*I154</f>
        <v>0</v>
      </c>
      <c r="L154" s="19"/>
    </row>
    <row r="155" spans="1:12" ht="14">
      <c r="A155" s="8">
        <v>241</v>
      </c>
      <c r="B155" s="112"/>
      <c r="C155" s="32"/>
      <c r="D155" s="83"/>
      <c r="E155" s="75"/>
      <c r="F155" s="84"/>
      <c r="G155" s="112" t="s">
        <v>542</v>
      </c>
      <c r="H155" s="32" t="s">
        <v>74</v>
      </c>
      <c r="I155" s="83">
        <v>35</v>
      </c>
      <c r="J155" s="87"/>
      <c r="K155" s="84">
        <f>J155*I155</f>
        <v>0</v>
      </c>
      <c r="L155" s="19"/>
    </row>
    <row r="156" spans="1:12" ht="14">
      <c r="A156" s="8"/>
      <c r="B156" s="117" t="s">
        <v>564</v>
      </c>
      <c r="C156" s="85"/>
      <c r="D156" s="85"/>
      <c r="E156" s="86"/>
      <c r="F156" s="86"/>
      <c r="G156" s="170" t="s">
        <v>565</v>
      </c>
      <c r="H156" s="32"/>
      <c r="I156" s="83"/>
      <c r="J156" s="87"/>
      <c r="K156" s="84"/>
      <c r="L156" s="19"/>
    </row>
    <row r="157" spans="1:12" ht="28">
      <c r="A157" s="8">
        <v>242</v>
      </c>
      <c r="B157" s="112" t="s">
        <v>553</v>
      </c>
      <c r="C157" s="32" t="s">
        <v>387</v>
      </c>
      <c r="D157" s="32">
        <v>1</v>
      </c>
      <c r="E157" s="75"/>
      <c r="F157" s="84">
        <f>E157*D157</f>
        <v>0</v>
      </c>
      <c r="G157" s="112" t="s">
        <v>554</v>
      </c>
      <c r="H157" s="32" t="s">
        <v>387</v>
      </c>
      <c r="I157" s="83">
        <v>1</v>
      </c>
      <c r="J157" s="87"/>
      <c r="K157" s="84">
        <f>J157*I157</f>
        <v>0</v>
      </c>
      <c r="L157" s="19"/>
    </row>
    <row r="158" spans="1:12" ht="14">
      <c r="A158" s="8">
        <v>243</v>
      </c>
      <c r="B158" s="112" t="s">
        <v>555</v>
      </c>
      <c r="C158" s="32" t="s">
        <v>387</v>
      </c>
      <c r="D158" s="77">
        <v>1</v>
      </c>
      <c r="E158" s="75"/>
      <c r="F158" s="84">
        <f>E158*D158</f>
        <v>0</v>
      </c>
      <c r="G158" s="112" t="s">
        <v>556</v>
      </c>
      <c r="H158" s="32" t="s">
        <v>387</v>
      </c>
      <c r="I158" s="83">
        <v>1</v>
      </c>
      <c r="J158" s="87"/>
      <c r="K158" s="84">
        <f>J158*I158</f>
        <v>0</v>
      </c>
      <c r="L158" s="19"/>
    </row>
    <row r="159" spans="1:12" ht="14">
      <c r="A159" s="8">
        <v>244</v>
      </c>
      <c r="B159" s="112"/>
      <c r="C159" s="32"/>
      <c r="D159" s="77"/>
      <c r="E159" s="75"/>
      <c r="F159" s="84"/>
      <c r="G159" s="112" t="s">
        <v>557</v>
      </c>
      <c r="H159" s="32"/>
      <c r="I159" s="83"/>
      <c r="J159" s="87"/>
      <c r="K159" s="84"/>
      <c r="L159" s="19"/>
    </row>
    <row r="160" spans="1:12" ht="14">
      <c r="A160" s="8">
        <v>245</v>
      </c>
      <c r="B160" s="112"/>
      <c r="C160" s="32"/>
      <c r="D160" s="77"/>
      <c r="E160" s="75"/>
      <c r="F160" s="84"/>
      <c r="G160" s="112" t="s">
        <v>558</v>
      </c>
      <c r="H160" s="32"/>
      <c r="I160" s="83"/>
      <c r="J160" s="87"/>
      <c r="K160" s="84"/>
      <c r="L160" s="19"/>
    </row>
    <row r="161" spans="1:12" ht="14">
      <c r="A161" s="8">
        <v>246</v>
      </c>
      <c r="B161" s="112"/>
      <c r="C161" s="32"/>
      <c r="D161" s="77"/>
      <c r="E161" s="75"/>
      <c r="F161" s="84"/>
      <c r="G161" s="112" t="s">
        <v>559</v>
      </c>
      <c r="H161" s="32"/>
      <c r="I161" s="83"/>
      <c r="J161" s="87"/>
      <c r="K161" s="84"/>
      <c r="L161" s="19"/>
    </row>
    <row r="162" spans="1:12" ht="14">
      <c r="A162" s="8">
        <v>247</v>
      </c>
      <c r="B162" s="112"/>
      <c r="C162" s="32"/>
      <c r="D162" s="31"/>
      <c r="E162" s="75"/>
      <c r="F162" s="84"/>
      <c r="G162" s="112" t="s">
        <v>560</v>
      </c>
      <c r="H162" s="32"/>
      <c r="I162" s="83"/>
      <c r="J162" s="87"/>
      <c r="K162" s="84"/>
      <c r="L162" s="19"/>
    </row>
    <row r="163" spans="1:12" ht="14">
      <c r="A163" s="8">
        <v>248</v>
      </c>
      <c r="B163" s="112" t="s">
        <v>523</v>
      </c>
      <c r="C163" s="32" t="s">
        <v>74</v>
      </c>
      <c r="D163" s="83" t="s">
        <v>566</v>
      </c>
      <c r="E163" s="75"/>
      <c r="F163" s="84">
        <f>E163*D163</f>
        <v>0</v>
      </c>
      <c r="G163" s="112" t="s">
        <v>561</v>
      </c>
      <c r="H163" s="32" t="s">
        <v>74</v>
      </c>
      <c r="I163" s="83" t="s">
        <v>567</v>
      </c>
      <c r="J163" s="87"/>
      <c r="K163" s="84">
        <f>J163*I163</f>
        <v>0</v>
      </c>
      <c r="L163" s="19"/>
    </row>
    <row r="164" spans="1:12" ht="14">
      <c r="A164" s="8">
        <v>249</v>
      </c>
      <c r="B164" s="112"/>
      <c r="C164" s="32"/>
      <c r="D164" s="83"/>
      <c r="E164" s="75"/>
      <c r="F164" s="84"/>
      <c r="G164" s="112" t="s">
        <v>562</v>
      </c>
      <c r="H164" s="32" t="s">
        <v>74</v>
      </c>
      <c r="I164" s="83" t="s">
        <v>567</v>
      </c>
      <c r="J164" s="87"/>
      <c r="K164" s="84">
        <f>J164*I164</f>
        <v>0</v>
      </c>
      <c r="L164" s="19"/>
    </row>
    <row r="165" spans="1:12" ht="28">
      <c r="A165" s="8">
        <v>250</v>
      </c>
      <c r="B165" s="112" t="s">
        <v>563</v>
      </c>
      <c r="C165" s="32" t="s">
        <v>74</v>
      </c>
      <c r="D165" s="83" t="s">
        <v>566</v>
      </c>
      <c r="E165" s="75"/>
      <c r="F165" s="84">
        <f>E165*D165</f>
        <v>0</v>
      </c>
      <c r="G165" s="112" t="s">
        <v>540</v>
      </c>
      <c r="H165" s="32" t="s">
        <v>74</v>
      </c>
      <c r="I165" s="83" t="s">
        <v>567</v>
      </c>
      <c r="J165" s="87"/>
      <c r="K165" s="84">
        <f>J165*I165</f>
        <v>0</v>
      </c>
      <c r="L165" s="19"/>
    </row>
    <row r="166" spans="1:12" ht="14">
      <c r="A166" s="8">
        <v>251</v>
      </c>
      <c r="B166" s="112"/>
      <c r="C166" s="32"/>
      <c r="D166" s="83"/>
      <c r="E166" s="75"/>
      <c r="F166" s="84"/>
      <c r="G166" s="112" t="s">
        <v>542</v>
      </c>
      <c r="H166" s="32" t="s">
        <v>74</v>
      </c>
      <c r="I166" s="83" t="s">
        <v>567</v>
      </c>
      <c r="J166" s="87"/>
      <c r="K166" s="84">
        <f>J166*I166</f>
        <v>0</v>
      </c>
      <c r="L166" s="19"/>
    </row>
    <row r="167" spans="1:12" ht="14">
      <c r="A167" s="8"/>
      <c r="B167" s="121" t="s">
        <v>568</v>
      </c>
      <c r="C167" s="89"/>
      <c r="D167" s="89"/>
      <c r="E167" s="90"/>
      <c r="F167" s="90"/>
      <c r="G167" s="170" t="s">
        <v>569</v>
      </c>
      <c r="H167" s="21"/>
      <c r="I167" s="97"/>
      <c r="J167" s="87"/>
      <c r="K167" s="84"/>
      <c r="L167" s="19"/>
    </row>
    <row r="168" spans="1:12" ht="14">
      <c r="A168" s="8">
        <v>252</v>
      </c>
      <c r="B168" s="112" t="s">
        <v>570</v>
      </c>
      <c r="C168" s="32" t="s">
        <v>74</v>
      </c>
      <c r="D168" s="32">
        <v>122</v>
      </c>
      <c r="E168" s="75"/>
      <c r="F168" s="84">
        <f t="shared" ref="F168:F198" si="7">E168*D168</f>
        <v>0</v>
      </c>
      <c r="G168" s="112" t="s">
        <v>571</v>
      </c>
      <c r="H168" s="32" t="s">
        <v>74</v>
      </c>
      <c r="I168" s="83" t="s">
        <v>572</v>
      </c>
      <c r="J168" s="87"/>
      <c r="K168" s="84">
        <f t="shared" ref="K168:K198" si="8">J168*I168</f>
        <v>0</v>
      </c>
      <c r="L168" s="19"/>
    </row>
    <row r="169" spans="1:12" ht="14">
      <c r="A169" s="8">
        <v>253</v>
      </c>
      <c r="B169" s="112"/>
      <c r="C169" s="32"/>
      <c r="D169" s="32"/>
      <c r="E169" s="75"/>
      <c r="F169" s="84"/>
      <c r="G169" s="112" t="s">
        <v>573</v>
      </c>
      <c r="H169" s="32" t="s">
        <v>74</v>
      </c>
      <c r="I169" s="83" t="s">
        <v>574</v>
      </c>
      <c r="J169" s="87"/>
      <c r="K169" s="84">
        <f t="shared" si="8"/>
        <v>0</v>
      </c>
      <c r="L169" s="19"/>
    </row>
    <row r="170" spans="1:12" ht="14">
      <c r="A170" s="8">
        <v>254</v>
      </c>
      <c r="B170" s="112"/>
      <c r="C170" s="32"/>
      <c r="D170" s="32"/>
      <c r="E170" s="75"/>
      <c r="F170" s="84"/>
      <c r="G170" s="112" t="s">
        <v>575</v>
      </c>
      <c r="H170" s="32" t="s">
        <v>74</v>
      </c>
      <c r="I170" s="83">
        <v>7</v>
      </c>
      <c r="J170" s="87"/>
      <c r="K170" s="84">
        <f t="shared" si="8"/>
        <v>0</v>
      </c>
      <c r="L170" s="19"/>
    </row>
    <row r="171" spans="1:12" ht="14">
      <c r="A171" s="8">
        <v>255</v>
      </c>
      <c r="B171" s="112" t="s">
        <v>576</v>
      </c>
      <c r="C171" s="32" t="s">
        <v>387</v>
      </c>
      <c r="D171" s="32">
        <v>256</v>
      </c>
      <c r="E171" s="75"/>
      <c r="F171" s="84">
        <f t="shared" si="7"/>
        <v>0</v>
      </c>
      <c r="G171" s="112" t="s">
        <v>577</v>
      </c>
      <c r="H171" s="32" t="s">
        <v>387</v>
      </c>
      <c r="I171" s="83" t="s">
        <v>512</v>
      </c>
      <c r="J171" s="87"/>
      <c r="K171" s="84">
        <f t="shared" si="8"/>
        <v>0</v>
      </c>
      <c r="L171" s="19"/>
    </row>
    <row r="172" spans="1:12" ht="14">
      <c r="A172" s="8">
        <v>256</v>
      </c>
      <c r="B172" s="112"/>
      <c r="C172" s="32"/>
      <c r="D172" s="32"/>
      <c r="E172" s="75"/>
      <c r="F172" s="84"/>
      <c r="G172" s="112" t="s">
        <v>578</v>
      </c>
      <c r="H172" s="32" t="s">
        <v>387</v>
      </c>
      <c r="I172" s="83">
        <v>7</v>
      </c>
      <c r="J172" s="87"/>
      <c r="K172" s="84">
        <f t="shared" si="8"/>
        <v>0</v>
      </c>
      <c r="L172" s="19"/>
    </row>
    <row r="173" spans="1:12" ht="14">
      <c r="A173" s="8">
        <v>257</v>
      </c>
      <c r="B173" s="112"/>
      <c r="C173" s="32"/>
      <c r="D173" s="32"/>
      <c r="E173" s="75"/>
      <c r="F173" s="84"/>
      <c r="G173" s="112" t="s">
        <v>579</v>
      </c>
      <c r="H173" s="32" t="s">
        <v>387</v>
      </c>
      <c r="I173" s="83">
        <v>2</v>
      </c>
      <c r="J173" s="87"/>
      <c r="K173" s="84">
        <f t="shared" si="8"/>
        <v>0</v>
      </c>
      <c r="L173" s="19"/>
    </row>
    <row r="174" spans="1:12" ht="14">
      <c r="A174" s="8">
        <v>258</v>
      </c>
      <c r="B174" s="112"/>
      <c r="C174" s="32"/>
      <c r="D174" s="32"/>
      <c r="E174" s="75"/>
      <c r="F174" s="84"/>
      <c r="G174" s="112" t="s">
        <v>580</v>
      </c>
      <c r="H174" s="32" t="s">
        <v>387</v>
      </c>
      <c r="I174" s="83">
        <v>60</v>
      </c>
      <c r="J174" s="87"/>
      <c r="K174" s="84">
        <f t="shared" si="8"/>
        <v>0</v>
      </c>
      <c r="L174" s="19"/>
    </row>
    <row r="175" spans="1:12" ht="14">
      <c r="A175" s="8">
        <v>259</v>
      </c>
      <c r="B175" s="112"/>
      <c r="C175" s="32"/>
      <c r="D175" s="32"/>
      <c r="E175" s="75"/>
      <c r="F175" s="84"/>
      <c r="G175" s="112" t="s">
        <v>581</v>
      </c>
      <c r="H175" s="32" t="s">
        <v>387</v>
      </c>
      <c r="I175" s="83">
        <v>20</v>
      </c>
      <c r="J175" s="87"/>
      <c r="K175" s="84">
        <f t="shared" si="8"/>
        <v>0</v>
      </c>
      <c r="L175" s="19"/>
    </row>
    <row r="176" spans="1:12" ht="14">
      <c r="A176" s="8">
        <v>260</v>
      </c>
      <c r="B176" s="112"/>
      <c r="C176" s="32"/>
      <c r="D176" s="32"/>
      <c r="E176" s="75"/>
      <c r="F176" s="84"/>
      <c r="G176" s="112" t="s">
        <v>582</v>
      </c>
      <c r="H176" s="32" t="s">
        <v>387</v>
      </c>
      <c r="I176" s="83">
        <v>30</v>
      </c>
      <c r="J176" s="87"/>
      <c r="K176" s="84">
        <f t="shared" si="8"/>
        <v>0</v>
      </c>
      <c r="L176" s="19"/>
    </row>
    <row r="177" spans="1:12" ht="14">
      <c r="A177" s="8">
        <v>261</v>
      </c>
      <c r="B177" s="112"/>
      <c r="C177" s="32"/>
      <c r="D177" s="32"/>
      <c r="E177" s="75"/>
      <c r="F177" s="84"/>
      <c r="G177" s="112" t="s">
        <v>583</v>
      </c>
      <c r="H177" s="32" t="s">
        <v>387</v>
      </c>
      <c r="I177" s="83">
        <v>10</v>
      </c>
      <c r="J177" s="87"/>
      <c r="K177" s="84">
        <f t="shared" si="8"/>
        <v>0</v>
      </c>
      <c r="L177" s="19"/>
    </row>
    <row r="178" spans="1:12" ht="14">
      <c r="A178" s="8">
        <v>262</v>
      </c>
      <c r="B178" s="112"/>
      <c r="C178" s="32"/>
      <c r="D178" s="32"/>
      <c r="E178" s="75"/>
      <c r="F178" s="84"/>
      <c r="G178" s="112" t="s">
        <v>584</v>
      </c>
      <c r="H178" s="32" t="s">
        <v>387</v>
      </c>
      <c r="I178" s="83">
        <v>64</v>
      </c>
      <c r="J178" s="87"/>
      <c r="K178" s="84">
        <f t="shared" si="8"/>
        <v>0</v>
      </c>
      <c r="L178" s="19"/>
    </row>
    <row r="179" spans="1:12" ht="14">
      <c r="A179" s="8">
        <v>263</v>
      </c>
      <c r="B179" s="112"/>
      <c r="C179" s="32"/>
      <c r="D179" s="32"/>
      <c r="E179" s="75"/>
      <c r="F179" s="84"/>
      <c r="G179" s="112" t="s">
        <v>585</v>
      </c>
      <c r="H179" s="32" t="s">
        <v>387</v>
      </c>
      <c r="I179" s="83">
        <v>45</v>
      </c>
      <c r="J179" s="87"/>
      <c r="K179" s="84">
        <f t="shared" si="8"/>
        <v>0</v>
      </c>
      <c r="L179" s="19"/>
    </row>
    <row r="180" spans="1:12" ht="14">
      <c r="A180" s="8">
        <v>264</v>
      </c>
      <c r="B180" s="112"/>
      <c r="C180" s="32"/>
      <c r="D180" s="32"/>
      <c r="E180" s="75"/>
      <c r="F180" s="84"/>
      <c r="G180" s="112" t="s">
        <v>586</v>
      </c>
      <c r="H180" s="32" t="s">
        <v>387</v>
      </c>
      <c r="I180" s="83">
        <v>7</v>
      </c>
      <c r="J180" s="87"/>
      <c r="K180" s="84">
        <f t="shared" si="8"/>
        <v>0</v>
      </c>
      <c r="L180" s="19"/>
    </row>
    <row r="181" spans="1:12" ht="14">
      <c r="A181" s="8">
        <v>265</v>
      </c>
      <c r="B181" s="112"/>
      <c r="C181" s="32"/>
      <c r="D181" s="32"/>
      <c r="E181" s="75"/>
      <c r="F181" s="84"/>
      <c r="G181" s="112" t="s">
        <v>587</v>
      </c>
      <c r="H181" s="32" t="s">
        <v>387</v>
      </c>
      <c r="I181" s="83">
        <v>8</v>
      </c>
      <c r="J181" s="87"/>
      <c r="K181" s="84">
        <f t="shared" si="8"/>
        <v>0</v>
      </c>
      <c r="L181" s="19"/>
    </row>
    <row r="182" spans="1:12" ht="14">
      <c r="A182" s="8">
        <v>266</v>
      </c>
      <c r="B182" s="112"/>
      <c r="C182" s="32"/>
      <c r="D182" s="32"/>
      <c r="E182" s="75"/>
      <c r="F182" s="84"/>
      <c r="G182" s="112" t="s">
        <v>588</v>
      </c>
      <c r="H182" s="32" t="s">
        <v>387</v>
      </c>
      <c r="I182" s="83">
        <v>1</v>
      </c>
      <c r="J182" s="87"/>
      <c r="K182" s="84">
        <f t="shared" si="8"/>
        <v>0</v>
      </c>
      <c r="L182" s="19"/>
    </row>
    <row r="183" spans="1:12" ht="14">
      <c r="A183" s="8">
        <v>267</v>
      </c>
      <c r="B183" s="112"/>
      <c r="C183" s="32"/>
      <c r="D183" s="32"/>
      <c r="E183" s="75"/>
      <c r="F183" s="84"/>
      <c r="G183" s="112" t="s">
        <v>589</v>
      </c>
      <c r="H183" s="32" t="s">
        <v>387</v>
      </c>
      <c r="I183" s="83">
        <v>2</v>
      </c>
      <c r="J183" s="87"/>
      <c r="K183" s="84">
        <f t="shared" si="8"/>
        <v>0</v>
      </c>
      <c r="L183" s="19"/>
    </row>
    <row r="184" spans="1:12" ht="14">
      <c r="A184" s="8">
        <v>268</v>
      </c>
      <c r="B184" s="112" t="s">
        <v>590</v>
      </c>
      <c r="C184" s="32" t="s">
        <v>387</v>
      </c>
      <c r="D184" s="91">
        <v>140</v>
      </c>
      <c r="E184" s="75"/>
      <c r="F184" s="84">
        <f t="shared" si="7"/>
        <v>0</v>
      </c>
      <c r="G184" s="112" t="s">
        <v>591</v>
      </c>
      <c r="H184" s="32" t="s">
        <v>387</v>
      </c>
      <c r="I184" s="83" t="s">
        <v>592</v>
      </c>
      <c r="J184" s="87"/>
      <c r="K184" s="84">
        <f t="shared" si="8"/>
        <v>0</v>
      </c>
      <c r="L184" s="19"/>
    </row>
    <row r="185" spans="1:12" ht="14">
      <c r="A185" s="8">
        <v>269</v>
      </c>
      <c r="B185" s="112"/>
      <c r="C185" s="32"/>
      <c r="D185" s="91"/>
      <c r="E185" s="75"/>
      <c r="F185" s="84"/>
      <c r="G185" s="112" t="s">
        <v>593</v>
      </c>
      <c r="H185" s="32" t="s">
        <v>387</v>
      </c>
      <c r="I185" s="83" t="s">
        <v>594</v>
      </c>
      <c r="J185" s="87"/>
      <c r="K185" s="84">
        <f t="shared" si="8"/>
        <v>0</v>
      </c>
      <c r="L185" s="19"/>
    </row>
    <row r="186" spans="1:12" ht="14">
      <c r="A186" s="8">
        <v>270</v>
      </c>
      <c r="B186" s="112"/>
      <c r="C186" s="32"/>
      <c r="D186" s="91"/>
      <c r="E186" s="75"/>
      <c r="F186" s="84"/>
      <c r="G186" s="112" t="s">
        <v>595</v>
      </c>
      <c r="H186" s="32" t="s">
        <v>387</v>
      </c>
      <c r="I186" s="83">
        <v>98</v>
      </c>
      <c r="J186" s="87"/>
      <c r="K186" s="84">
        <f t="shared" si="8"/>
        <v>0</v>
      </c>
      <c r="L186" s="19"/>
    </row>
    <row r="187" spans="1:12" ht="14">
      <c r="A187" s="8">
        <v>271</v>
      </c>
      <c r="B187" s="112"/>
      <c r="C187" s="32"/>
      <c r="D187" s="91"/>
      <c r="E187" s="75"/>
      <c r="F187" s="84"/>
      <c r="G187" s="112" t="s">
        <v>596</v>
      </c>
      <c r="H187" s="32" t="s">
        <v>387</v>
      </c>
      <c r="I187" s="83">
        <v>12</v>
      </c>
      <c r="J187" s="87"/>
      <c r="K187" s="84">
        <f t="shared" si="8"/>
        <v>0</v>
      </c>
      <c r="L187" s="19"/>
    </row>
    <row r="188" spans="1:12" ht="14">
      <c r="A188" s="8">
        <v>272</v>
      </c>
      <c r="B188" s="114"/>
      <c r="C188" s="77"/>
      <c r="D188" s="92"/>
      <c r="E188" s="78"/>
      <c r="F188" s="93"/>
      <c r="G188" s="114" t="s">
        <v>597</v>
      </c>
      <c r="H188" s="77" t="s">
        <v>387</v>
      </c>
      <c r="I188" s="148">
        <v>20</v>
      </c>
      <c r="J188" s="98"/>
      <c r="K188" s="93">
        <f t="shared" si="8"/>
        <v>0</v>
      </c>
      <c r="L188" s="19"/>
    </row>
    <row r="189" spans="1:12" ht="14">
      <c r="A189" s="8">
        <v>273</v>
      </c>
      <c r="B189" s="114"/>
      <c r="C189" s="77"/>
      <c r="D189" s="92"/>
      <c r="E189" s="78"/>
      <c r="F189" s="93"/>
      <c r="G189" s="114" t="s">
        <v>598</v>
      </c>
      <c r="H189" s="77" t="s">
        <v>387</v>
      </c>
      <c r="I189" s="148">
        <v>10</v>
      </c>
      <c r="J189" s="98"/>
      <c r="K189" s="93">
        <f t="shared" si="8"/>
        <v>0</v>
      </c>
      <c r="L189" s="19"/>
    </row>
    <row r="190" spans="1:12" ht="28">
      <c r="A190" s="8">
        <v>274</v>
      </c>
      <c r="B190" s="114" t="s">
        <v>599</v>
      </c>
      <c r="C190" s="77" t="s">
        <v>387</v>
      </c>
      <c r="D190" s="77" t="s">
        <v>415</v>
      </c>
      <c r="E190" s="78"/>
      <c r="F190" s="93">
        <f t="shared" si="7"/>
        <v>0</v>
      </c>
      <c r="G190" s="114" t="s">
        <v>600</v>
      </c>
      <c r="H190" s="77" t="s">
        <v>387</v>
      </c>
      <c r="I190" s="148" t="s">
        <v>415</v>
      </c>
      <c r="J190" s="98"/>
      <c r="K190" s="93">
        <f t="shared" si="8"/>
        <v>0</v>
      </c>
      <c r="L190" s="19"/>
    </row>
    <row r="191" spans="1:12" ht="28">
      <c r="A191" s="8">
        <v>275</v>
      </c>
      <c r="B191" s="114" t="s">
        <v>601</v>
      </c>
      <c r="C191" s="77" t="s">
        <v>41</v>
      </c>
      <c r="D191" s="77">
        <v>29</v>
      </c>
      <c r="E191" s="78"/>
      <c r="F191" s="93">
        <f t="shared" si="7"/>
        <v>0</v>
      </c>
      <c r="G191" s="114" t="s">
        <v>429</v>
      </c>
      <c r="H191" s="77" t="s">
        <v>41</v>
      </c>
      <c r="I191" s="148">
        <v>29</v>
      </c>
      <c r="J191" s="98"/>
      <c r="K191" s="93">
        <f t="shared" si="8"/>
        <v>0</v>
      </c>
      <c r="L191" s="19"/>
    </row>
    <row r="192" spans="1:12" ht="14">
      <c r="A192" s="8">
        <v>276</v>
      </c>
      <c r="B192" s="114" t="s">
        <v>602</v>
      </c>
      <c r="C192" s="77" t="s">
        <v>161</v>
      </c>
      <c r="D192" s="77">
        <v>1</v>
      </c>
      <c r="E192" s="78"/>
      <c r="F192" s="93">
        <f t="shared" si="7"/>
        <v>0</v>
      </c>
      <c r="G192" s="114" t="s">
        <v>603</v>
      </c>
      <c r="H192" s="77" t="s">
        <v>161</v>
      </c>
      <c r="I192" s="148">
        <v>1</v>
      </c>
      <c r="J192" s="98"/>
      <c r="K192" s="93">
        <f t="shared" si="8"/>
        <v>0</v>
      </c>
      <c r="L192" s="19"/>
    </row>
    <row r="193" spans="1:12" ht="14">
      <c r="A193" s="8">
        <v>277</v>
      </c>
      <c r="B193" s="114"/>
      <c r="C193" s="77"/>
      <c r="D193" s="92"/>
      <c r="E193" s="78"/>
      <c r="F193" s="93"/>
      <c r="G193" s="114" t="s">
        <v>604</v>
      </c>
      <c r="H193" s="77" t="s">
        <v>51</v>
      </c>
      <c r="I193" s="148" t="s">
        <v>605</v>
      </c>
      <c r="J193" s="98"/>
      <c r="K193" s="93">
        <f t="shared" si="8"/>
        <v>0</v>
      </c>
      <c r="L193" s="19"/>
    </row>
    <row r="194" spans="1:12" ht="14">
      <c r="A194" s="8">
        <v>278</v>
      </c>
      <c r="B194" s="112"/>
      <c r="C194" s="32"/>
      <c r="D194" s="91"/>
      <c r="E194" s="75"/>
      <c r="F194" s="84"/>
      <c r="G194" s="112" t="s">
        <v>606</v>
      </c>
      <c r="H194" s="32" t="s">
        <v>387</v>
      </c>
      <c r="I194" s="83" t="s">
        <v>515</v>
      </c>
      <c r="J194" s="87"/>
      <c r="K194" s="84">
        <f t="shared" si="8"/>
        <v>0</v>
      </c>
      <c r="L194" s="19"/>
    </row>
    <row r="195" spans="1:12" ht="14">
      <c r="A195" s="8">
        <v>279</v>
      </c>
      <c r="B195" s="114"/>
      <c r="C195" s="77"/>
      <c r="D195" s="92"/>
      <c r="E195" s="78"/>
      <c r="F195" s="93"/>
      <c r="G195" s="114" t="s">
        <v>607</v>
      </c>
      <c r="H195" s="77" t="s">
        <v>387</v>
      </c>
      <c r="I195" s="148" t="s">
        <v>608</v>
      </c>
      <c r="J195" s="98"/>
      <c r="K195" s="93">
        <f t="shared" si="8"/>
        <v>0</v>
      </c>
      <c r="L195" s="19"/>
    </row>
    <row r="196" spans="1:12" ht="14">
      <c r="A196" s="8">
        <v>280</v>
      </c>
      <c r="B196" s="114"/>
      <c r="C196" s="77"/>
      <c r="D196" s="92"/>
      <c r="E196" s="78"/>
      <c r="F196" s="93"/>
      <c r="G196" s="114" t="s">
        <v>609</v>
      </c>
      <c r="H196" s="77" t="s">
        <v>387</v>
      </c>
      <c r="I196" s="148" t="s">
        <v>610</v>
      </c>
      <c r="J196" s="98"/>
      <c r="K196" s="93">
        <f t="shared" si="8"/>
        <v>0</v>
      </c>
      <c r="L196" s="19"/>
    </row>
    <row r="197" spans="1:12" ht="14">
      <c r="A197" s="8">
        <v>281</v>
      </c>
      <c r="B197" s="114"/>
      <c r="C197" s="77"/>
      <c r="D197" s="92"/>
      <c r="E197" s="78"/>
      <c r="F197" s="93"/>
      <c r="G197" s="114" t="s">
        <v>609</v>
      </c>
      <c r="H197" s="77" t="s">
        <v>387</v>
      </c>
      <c r="I197" s="148" t="s">
        <v>610</v>
      </c>
      <c r="J197" s="98"/>
      <c r="K197" s="93">
        <f t="shared" si="8"/>
        <v>0</v>
      </c>
      <c r="L197" s="19"/>
    </row>
    <row r="198" spans="1:12" ht="14">
      <c r="A198" s="8">
        <v>282</v>
      </c>
      <c r="B198" s="114" t="s">
        <v>611</v>
      </c>
      <c r="C198" s="77" t="s">
        <v>387</v>
      </c>
      <c r="D198" s="77" t="s">
        <v>415</v>
      </c>
      <c r="E198" s="78"/>
      <c r="F198" s="93">
        <f t="shared" si="7"/>
        <v>0</v>
      </c>
      <c r="G198" s="114" t="s">
        <v>612</v>
      </c>
      <c r="H198" s="77" t="s">
        <v>387</v>
      </c>
      <c r="I198" s="148" t="s">
        <v>415</v>
      </c>
      <c r="J198" s="98"/>
      <c r="K198" s="93">
        <f t="shared" si="8"/>
        <v>0</v>
      </c>
      <c r="L198" s="19"/>
    </row>
    <row r="199" spans="1:12" ht="14">
      <c r="A199" s="8"/>
      <c r="B199" s="122"/>
      <c r="C199" s="89"/>
      <c r="D199" s="89"/>
      <c r="E199" s="90"/>
      <c r="F199" s="90"/>
      <c r="G199" s="170" t="s">
        <v>613</v>
      </c>
      <c r="H199" s="21"/>
      <c r="I199" s="49"/>
      <c r="J199" s="87"/>
      <c r="K199" s="84"/>
      <c r="L199" s="19"/>
    </row>
    <row r="200" spans="1:12" ht="28">
      <c r="A200" s="8">
        <v>283</v>
      </c>
      <c r="B200" s="123" t="s">
        <v>614</v>
      </c>
      <c r="C200" s="94" t="s">
        <v>74</v>
      </c>
      <c r="D200" s="95">
        <v>38</v>
      </c>
      <c r="E200" s="87"/>
      <c r="F200" s="84">
        <f t="shared" ref="F200:F203" si="9">E200*D200</f>
        <v>0</v>
      </c>
      <c r="G200" s="123" t="s">
        <v>615</v>
      </c>
      <c r="H200" s="94" t="s">
        <v>74</v>
      </c>
      <c r="I200" s="95">
        <v>38</v>
      </c>
      <c r="J200" s="87"/>
      <c r="K200" s="84">
        <f t="shared" ref="K200:K211" si="10">J200*I200</f>
        <v>0</v>
      </c>
      <c r="L200" s="19"/>
    </row>
    <row r="201" spans="1:12" ht="28">
      <c r="A201" s="8">
        <v>284</v>
      </c>
      <c r="B201" s="123" t="s">
        <v>616</v>
      </c>
      <c r="C201" s="94" t="s">
        <v>74</v>
      </c>
      <c r="D201" s="95">
        <v>19</v>
      </c>
      <c r="E201" s="87"/>
      <c r="F201" s="84">
        <f t="shared" si="9"/>
        <v>0</v>
      </c>
      <c r="G201" s="123" t="s">
        <v>617</v>
      </c>
      <c r="H201" s="94" t="s">
        <v>74</v>
      </c>
      <c r="I201" s="95">
        <v>19</v>
      </c>
      <c r="J201" s="87"/>
      <c r="K201" s="84">
        <f t="shared" si="10"/>
        <v>0</v>
      </c>
      <c r="L201" s="19"/>
    </row>
    <row r="202" spans="1:12" ht="28">
      <c r="A202" s="8">
        <v>285</v>
      </c>
      <c r="B202" s="123" t="s">
        <v>618</v>
      </c>
      <c r="C202" s="94" t="s">
        <v>74</v>
      </c>
      <c r="D202" s="95">
        <v>19</v>
      </c>
      <c r="E202" s="87"/>
      <c r="F202" s="84">
        <f t="shared" si="9"/>
        <v>0</v>
      </c>
      <c r="G202" s="123" t="s">
        <v>619</v>
      </c>
      <c r="H202" s="94" t="s">
        <v>74</v>
      </c>
      <c r="I202" s="95">
        <v>19</v>
      </c>
      <c r="J202" s="87"/>
      <c r="K202" s="84">
        <f t="shared" si="10"/>
        <v>0</v>
      </c>
      <c r="L202" s="19"/>
    </row>
    <row r="203" spans="1:12" ht="14">
      <c r="A203" s="8">
        <v>286</v>
      </c>
      <c r="B203" s="123" t="s">
        <v>620</v>
      </c>
      <c r="C203" s="94" t="s">
        <v>387</v>
      </c>
      <c r="D203" s="95" t="s">
        <v>621</v>
      </c>
      <c r="E203" s="87"/>
      <c r="F203" s="84">
        <f t="shared" si="9"/>
        <v>0</v>
      </c>
      <c r="G203" s="123" t="s">
        <v>622</v>
      </c>
      <c r="H203" s="94" t="s">
        <v>387</v>
      </c>
      <c r="I203" s="95">
        <v>10</v>
      </c>
      <c r="J203" s="87"/>
      <c r="K203" s="84">
        <f t="shared" si="10"/>
        <v>0</v>
      </c>
      <c r="L203" s="19"/>
    </row>
    <row r="204" spans="1:12" ht="28">
      <c r="A204" s="8">
        <v>287</v>
      </c>
      <c r="B204" s="123"/>
      <c r="C204" s="94"/>
      <c r="D204" s="95"/>
      <c r="E204" s="87"/>
      <c r="F204" s="84"/>
      <c r="G204" s="123" t="s">
        <v>623</v>
      </c>
      <c r="H204" s="94" t="s">
        <v>387</v>
      </c>
      <c r="I204" s="95">
        <v>24</v>
      </c>
      <c r="J204" s="87"/>
      <c r="K204" s="84">
        <f t="shared" si="10"/>
        <v>0</v>
      </c>
      <c r="L204" s="19"/>
    </row>
    <row r="205" spans="1:12" ht="28">
      <c r="A205" s="8">
        <v>288</v>
      </c>
      <c r="B205" s="123"/>
      <c r="C205" s="94"/>
      <c r="D205" s="95"/>
      <c r="E205" s="87"/>
      <c r="F205" s="84"/>
      <c r="G205" s="123" t="s">
        <v>624</v>
      </c>
      <c r="H205" s="94" t="s">
        <v>387</v>
      </c>
      <c r="I205" s="95">
        <v>2</v>
      </c>
      <c r="J205" s="87"/>
      <c r="K205" s="84">
        <f t="shared" si="10"/>
        <v>0</v>
      </c>
      <c r="L205" s="19"/>
    </row>
    <row r="206" spans="1:12" ht="14">
      <c r="A206" s="8">
        <v>289</v>
      </c>
      <c r="B206" s="123"/>
      <c r="C206" s="94"/>
      <c r="D206" s="95"/>
      <c r="E206" s="87"/>
      <c r="F206" s="84"/>
      <c r="G206" s="123" t="s">
        <v>625</v>
      </c>
      <c r="H206" s="94" t="s">
        <v>387</v>
      </c>
      <c r="I206" s="95">
        <v>6</v>
      </c>
      <c r="J206" s="87"/>
      <c r="K206" s="84">
        <f t="shared" si="10"/>
        <v>0</v>
      </c>
      <c r="L206" s="19"/>
    </row>
    <row r="207" spans="1:12" ht="14">
      <c r="A207" s="8">
        <v>290</v>
      </c>
      <c r="B207" s="123"/>
      <c r="C207" s="94"/>
      <c r="D207" s="95"/>
      <c r="E207" s="87"/>
      <c r="F207" s="84"/>
      <c r="G207" s="123" t="s">
        <v>626</v>
      </c>
      <c r="H207" s="94" t="s">
        <v>387</v>
      </c>
      <c r="I207" s="95">
        <v>2</v>
      </c>
      <c r="J207" s="87"/>
      <c r="K207" s="84">
        <f t="shared" si="10"/>
        <v>0</v>
      </c>
      <c r="L207" s="19"/>
    </row>
    <row r="208" spans="1:12" ht="28">
      <c r="A208" s="8">
        <v>291</v>
      </c>
      <c r="B208" s="123"/>
      <c r="C208" s="94"/>
      <c r="D208" s="95"/>
      <c r="E208" s="87"/>
      <c r="F208" s="84"/>
      <c r="G208" s="123" t="s">
        <v>627</v>
      </c>
      <c r="H208" s="94" t="s">
        <v>387</v>
      </c>
      <c r="I208" s="95">
        <v>2</v>
      </c>
      <c r="J208" s="87"/>
      <c r="K208" s="84">
        <f t="shared" si="10"/>
        <v>0</v>
      </c>
      <c r="L208" s="19"/>
    </row>
    <row r="209" spans="1:12" ht="28">
      <c r="A209" s="8">
        <v>292</v>
      </c>
      <c r="B209" s="123"/>
      <c r="C209" s="94"/>
      <c r="D209" s="95"/>
      <c r="E209" s="87"/>
      <c r="F209" s="84"/>
      <c r="G209" s="123" t="s">
        <v>628</v>
      </c>
      <c r="H209" s="94" t="s">
        <v>387</v>
      </c>
      <c r="I209" s="95">
        <v>86</v>
      </c>
      <c r="J209" s="87"/>
      <c r="K209" s="84">
        <f t="shared" si="10"/>
        <v>0</v>
      </c>
      <c r="L209" s="19"/>
    </row>
    <row r="210" spans="1:12" ht="28">
      <c r="A210" s="8">
        <v>293</v>
      </c>
      <c r="B210" s="123"/>
      <c r="C210" s="94"/>
      <c r="D210" s="95"/>
      <c r="E210" s="87"/>
      <c r="F210" s="84"/>
      <c r="G210" s="123" t="s">
        <v>629</v>
      </c>
      <c r="H210" s="94" t="s">
        <v>387</v>
      </c>
      <c r="I210" s="95">
        <v>8</v>
      </c>
      <c r="J210" s="87"/>
      <c r="K210" s="84">
        <f t="shared" si="10"/>
        <v>0</v>
      </c>
      <c r="L210" s="19"/>
    </row>
    <row r="211" spans="1:12" ht="14">
      <c r="A211" s="8">
        <v>294</v>
      </c>
      <c r="B211" s="123"/>
      <c r="C211" s="94"/>
      <c r="D211" s="95"/>
      <c r="E211" s="87"/>
      <c r="F211" s="84"/>
      <c r="G211" s="123" t="s">
        <v>630</v>
      </c>
      <c r="H211" s="94" t="s">
        <v>387</v>
      </c>
      <c r="I211" s="95">
        <v>10</v>
      </c>
      <c r="J211" s="87"/>
      <c r="K211" s="84">
        <f t="shared" si="10"/>
        <v>0</v>
      </c>
      <c r="L211" s="19"/>
    </row>
    <row r="212" spans="1:12" ht="42">
      <c r="A212" s="8">
        <v>295</v>
      </c>
      <c r="B212" s="123" t="s">
        <v>631</v>
      </c>
      <c r="C212" s="96" t="s">
        <v>161</v>
      </c>
      <c r="D212" s="97">
        <v>1</v>
      </c>
      <c r="E212" s="87"/>
      <c r="F212" s="84">
        <f>E212*D212</f>
        <v>0</v>
      </c>
      <c r="G212" s="123" t="s">
        <v>632</v>
      </c>
      <c r="H212" s="96" t="s">
        <v>161</v>
      </c>
      <c r="I212" s="97">
        <v>1</v>
      </c>
      <c r="J212" s="87"/>
      <c r="K212" s="84">
        <f>J212*I212</f>
        <v>0</v>
      </c>
      <c r="L212" s="19"/>
    </row>
    <row r="213" spans="1:12" ht="28">
      <c r="A213" s="8">
        <v>296</v>
      </c>
      <c r="B213" s="123"/>
      <c r="C213" s="96"/>
      <c r="D213" s="97"/>
      <c r="E213" s="87"/>
      <c r="F213" s="84"/>
      <c r="G213" s="123" t="s">
        <v>633</v>
      </c>
      <c r="H213" s="96" t="s">
        <v>161</v>
      </c>
      <c r="I213" s="97">
        <v>1</v>
      </c>
      <c r="J213" s="87"/>
      <c r="K213" s="84">
        <f>J213*I213</f>
        <v>0</v>
      </c>
      <c r="L213" s="19"/>
    </row>
    <row r="214" spans="1:12" ht="28">
      <c r="A214" s="8">
        <v>297</v>
      </c>
      <c r="B214" s="123"/>
      <c r="C214" s="96"/>
      <c r="D214" s="97"/>
      <c r="E214" s="87"/>
      <c r="F214" s="84"/>
      <c r="G214" s="123" t="s">
        <v>634</v>
      </c>
      <c r="H214" s="96" t="s">
        <v>387</v>
      </c>
      <c r="I214" s="97">
        <v>2</v>
      </c>
      <c r="J214" s="87"/>
      <c r="K214" s="84">
        <f>J214*I214</f>
        <v>0</v>
      </c>
      <c r="L214" s="19"/>
    </row>
    <row r="215" spans="1:12" ht="14">
      <c r="A215" s="8"/>
      <c r="B215" s="123"/>
      <c r="C215" s="96"/>
      <c r="D215" s="97"/>
      <c r="E215" s="87"/>
      <c r="F215" s="84"/>
      <c r="G215" s="164" t="s">
        <v>635</v>
      </c>
      <c r="H215" s="96"/>
      <c r="I215" s="97"/>
      <c r="J215" s="87"/>
      <c r="K215" s="84"/>
      <c r="L215" s="19"/>
    </row>
    <row r="216" spans="1:12" ht="28">
      <c r="A216" s="8">
        <v>298</v>
      </c>
      <c r="B216" s="106" t="s">
        <v>636</v>
      </c>
      <c r="C216" s="94" t="s">
        <v>387</v>
      </c>
      <c r="D216" s="95" t="s">
        <v>637</v>
      </c>
      <c r="E216" s="98"/>
      <c r="F216" s="93">
        <f>E216*D216</f>
        <v>0</v>
      </c>
      <c r="G216" s="106" t="s">
        <v>638</v>
      </c>
      <c r="H216" s="94" t="s">
        <v>387</v>
      </c>
      <c r="I216" s="95" t="s">
        <v>639</v>
      </c>
      <c r="J216" s="98"/>
      <c r="K216" s="93">
        <f>J216*I216</f>
        <v>0</v>
      </c>
      <c r="L216" s="19"/>
    </row>
    <row r="217" spans="1:12" ht="28">
      <c r="A217" s="61">
        <v>299</v>
      </c>
      <c r="B217" s="123"/>
      <c r="C217" s="94"/>
      <c r="D217" s="95"/>
      <c r="E217" s="98"/>
      <c r="F217" s="93"/>
      <c r="G217" s="123" t="s">
        <v>640</v>
      </c>
      <c r="H217" s="94" t="s">
        <v>387</v>
      </c>
      <c r="I217" s="95">
        <v>6</v>
      </c>
      <c r="J217" s="98"/>
      <c r="K217" s="93">
        <f>J217*I217</f>
        <v>0</v>
      </c>
      <c r="L217" s="19"/>
    </row>
    <row r="218" spans="1:12" ht="28">
      <c r="A218" s="8">
        <v>300</v>
      </c>
      <c r="B218" s="123"/>
      <c r="C218" s="94"/>
      <c r="D218" s="252"/>
      <c r="E218" s="98"/>
      <c r="F218" s="93"/>
      <c r="G218" s="123" t="s">
        <v>641</v>
      </c>
      <c r="H218" s="94" t="s">
        <v>387</v>
      </c>
      <c r="I218" s="95">
        <v>3</v>
      </c>
      <c r="J218" s="98"/>
      <c r="K218" s="93">
        <f>J218*I218</f>
        <v>0</v>
      </c>
      <c r="L218" s="19"/>
    </row>
    <row r="219" spans="1:12" ht="14">
      <c r="A219" s="61">
        <v>301</v>
      </c>
      <c r="B219" s="124"/>
      <c r="C219" s="94"/>
      <c r="D219" s="95"/>
      <c r="E219" s="98"/>
      <c r="F219" s="93"/>
      <c r="G219" s="124" t="s">
        <v>642</v>
      </c>
      <c r="H219" s="94" t="s">
        <v>387</v>
      </c>
      <c r="I219" s="95">
        <v>1</v>
      </c>
      <c r="J219" s="98"/>
      <c r="K219" s="93">
        <f>J219*I219</f>
        <v>0</v>
      </c>
      <c r="L219" s="19"/>
    </row>
    <row r="220" spans="1:12" ht="14">
      <c r="A220" s="8">
        <v>302</v>
      </c>
      <c r="B220" s="124"/>
      <c r="C220" s="94"/>
      <c r="D220" s="95"/>
      <c r="E220" s="98"/>
      <c r="F220" s="93"/>
      <c r="G220" s="124" t="s">
        <v>643</v>
      </c>
      <c r="H220" s="94" t="s">
        <v>387</v>
      </c>
      <c r="I220" s="95">
        <v>1</v>
      </c>
      <c r="J220" s="98"/>
      <c r="K220" s="93">
        <f>J220*I220</f>
        <v>0</v>
      </c>
      <c r="L220" s="19"/>
    </row>
    <row r="223" spans="1:12">
      <c r="E223" t="s">
        <v>150</v>
      </c>
      <c r="F223" s="253">
        <f>SUM(F3:F220)</f>
        <v>0</v>
      </c>
      <c r="J223" t="s">
        <v>151</v>
      </c>
      <c r="K223" s="253">
        <f>SUM(K3:K220)</f>
        <v>0</v>
      </c>
    </row>
  </sheetData>
  <sheetProtection algorithmName="SHA-512" hashValue="jzvB8xKB7zibC/Q4o3q+CBmPu6or/8wHwohy3dl2cCJsdUdGHNbxfYSoMUA1OvyJR71Vweyz54HjGn4DSQTi2g==" saltValue="ecQFbAlOnyhrn9hLGmRCPg==" spinCount="100000" sheet="1" objects="1" scenarios="1"/>
  <protectedRanges>
    <protectedRange sqref="J98:J220" name="Range5"/>
    <protectedRange sqref="J3:J84" name="Materials_1"/>
    <protectedRange algorithmName="SHA-512" hashValue="RnV9nokCWgX6GX1z/8LNYh6D33aOB32Z7r4D9rlsjDDl0yUgqouERBG2q8DllGz2AlRNAU7DMnlDVEAVCRfv6g==" saltValue="l0uVHB89OM18qZ07RhPLDw==" spinCount="100000" sqref="K1:K1048576" name="Range3"/>
    <protectedRange sqref="E3:E220" name="Works"/>
    <protectedRange sqref="J93" name="Range4"/>
  </protectedRanges>
  <mergeCells count="7">
    <mergeCell ref="L1:L2"/>
    <mergeCell ref="A1:A2"/>
    <mergeCell ref="B1:B2"/>
    <mergeCell ref="C1:C2"/>
    <mergeCell ref="D1:D2"/>
    <mergeCell ref="E1:F1"/>
    <mergeCell ref="G1:K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83"/>
  <sheetViews>
    <sheetView topLeftCell="Q1" workbookViewId="0">
      <selection activeCell="J7" sqref="J7"/>
    </sheetView>
  </sheetViews>
  <sheetFormatPr baseColWidth="10" defaultColWidth="8.83203125" defaultRowHeight="13"/>
  <cols>
    <col min="2" max="2" width="46.33203125" customWidth="1"/>
    <col min="6" max="6" width="13.33203125" customWidth="1"/>
    <col min="7" max="7" width="47.6640625" customWidth="1"/>
    <col min="11" max="11" width="14.33203125" customWidth="1"/>
  </cols>
  <sheetData>
    <row r="1" spans="1:12">
      <c r="A1" s="285" t="s">
        <v>24</v>
      </c>
      <c r="B1" s="287" t="s">
        <v>25</v>
      </c>
      <c r="C1" s="288" t="s">
        <v>26</v>
      </c>
      <c r="D1" s="288" t="s">
        <v>27</v>
      </c>
      <c r="E1" s="289" t="s">
        <v>28</v>
      </c>
      <c r="F1" s="289"/>
      <c r="G1" s="290" t="s">
        <v>29</v>
      </c>
      <c r="H1" s="290"/>
      <c r="I1" s="290"/>
      <c r="J1" s="290"/>
      <c r="K1" s="290"/>
      <c r="L1" s="284" t="s">
        <v>30</v>
      </c>
    </row>
    <row r="2" spans="1:12" ht="28">
      <c r="A2" s="286"/>
      <c r="B2" s="287"/>
      <c r="C2" s="288"/>
      <c r="D2" s="288"/>
      <c r="E2" s="40" t="s">
        <v>31</v>
      </c>
      <c r="F2" s="40" t="s">
        <v>32</v>
      </c>
      <c r="G2" s="258" t="s">
        <v>33</v>
      </c>
      <c r="H2" s="259" t="s">
        <v>26</v>
      </c>
      <c r="I2" s="259" t="s">
        <v>27</v>
      </c>
      <c r="J2" s="40" t="s">
        <v>31</v>
      </c>
      <c r="K2" s="40" t="s">
        <v>32</v>
      </c>
      <c r="L2" s="284"/>
    </row>
    <row r="3" spans="1:12" ht="14">
      <c r="A3" s="11"/>
      <c r="B3" s="18" t="s">
        <v>11</v>
      </c>
      <c r="C3" s="62"/>
      <c r="D3" s="21"/>
      <c r="E3" s="22"/>
      <c r="F3" s="22"/>
      <c r="G3" s="106"/>
      <c r="H3" s="21"/>
      <c r="I3" s="145"/>
      <c r="J3" s="138"/>
      <c r="K3" s="136"/>
      <c r="L3" s="19"/>
    </row>
    <row r="4" spans="1:12" ht="15">
      <c r="A4" s="11">
        <v>303</v>
      </c>
      <c r="B4" s="107" t="s">
        <v>644</v>
      </c>
      <c r="C4" s="68" t="s">
        <v>48</v>
      </c>
      <c r="D4" s="33">
        <v>1</v>
      </c>
      <c r="E4" s="57"/>
      <c r="F4" s="57">
        <f>E4*D4</f>
        <v>0</v>
      </c>
      <c r="G4" s="109" t="s">
        <v>645</v>
      </c>
      <c r="H4" s="137" t="s">
        <v>48</v>
      </c>
      <c r="I4" s="50">
        <v>1</v>
      </c>
      <c r="J4" s="138"/>
      <c r="K4" s="138">
        <f>I4*J4</f>
        <v>0</v>
      </c>
      <c r="L4" s="16"/>
    </row>
    <row r="5" spans="1:12" ht="28">
      <c r="A5" s="11"/>
      <c r="B5" s="107"/>
      <c r="C5" s="68"/>
      <c r="D5" s="33"/>
      <c r="E5" s="57"/>
      <c r="F5" s="57"/>
      <c r="G5" s="109" t="s">
        <v>646</v>
      </c>
      <c r="H5" s="137" t="s">
        <v>48</v>
      </c>
      <c r="I5" s="50">
        <v>2</v>
      </c>
      <c r="J5" s="138"/>
      <c r="K5" s="138">
        <f t="shared" ref="K5:K70" si="0">I5*J5</f>
        <v>0</v>
      </c>
      <c r="L5" s="16"/>
    </row>
    <row r="6" spans="1:12" ht="42">
      <c r="A6" s="11"/>
      <c r="B6" s="107"/>
      <c r="C6" s="68"/>
      <c r="D6" s="33"/>
      <c r="E6" s="57"/>
      <c r="F6" s="57"/>
      <c r="G6" s="109" t="s">
        <v>647</v>
      </c>
      <c r="H6" s="137" t="s">
        <v>48</v>
      </c>
      <c r="I6" s="50">
        <v>1</v>
      </c>
      <c r="J6" s="138"/>
      <c r="K6" s="138">
        <f t="shared" si="0"/>
        <v>0</v>
      </c>
      <c r="L6" s="16"/>
    </row>
    <row r="7" spans="1:12" ht="15">
      <c r="A7" s="11"/>
      <c r="B7" s="107"/>
      <c r="C7" s="68"/>
      <c r="D7" s="33"/>
      <c r="E7" s="57"/>
      <c r="F7" s="57"/>
      <c r="G7" s="109" t="s">
        <v>648</v>
      </c>
      <c r="H7" s="137" t="s">
        <v>48</v>
      </c>
      <c r="I7" s="50">
        <v>1</v>
      </c>
      <c r="J7" s="138"/>
      <c r="K7" s="138">
        <f t="shared" si="0"/>
        <v>0</v>
      </c>
      <c r="L7" s="16"/>
    </row>
    <row r="8" spans="1:12" ht="15">
      <c r="A8" s="11">
        <v>304</v>
      </c>
      <c r="B8" s="107" t="s">
        <v>649</v>
      </c>
      <c r="C8" s="68" t="s">
        <v>48</v>
      </c>
      <c r="D8" s="33">
        <v>6</v>
      </c>
      <c r="E8" s="57"/>
      <c r="F8" s="57">
        <f>E8*D8</f>
        <v>0</v>
      </c>
      <c r="G8" s="109" t="s">
        <v>650</v>
      </c>
      <c r="H8" s="137" t="s">
        <v>48</v>
      </c>
      <c r="I8" s="50">
        <v>1</v>
      </c>
      <c r="J8" s="138"/>
      <c r="K8" s="138">
        <f t="shared" si="0"/>
        <v>0</v>
      </c>
      <c r="L8" s="16"/>
    </row>
    <row r="9" spans="1:12" ht="15">
      <c r="A9" s="11"/>
      <c r="B9" s="107"/>
      <c r="C9" s="68"/>
      <c r="D9" s="33"/>
      <c r="E9" s="57"/>
      <c r="F9" s="57"/>
      <c r="G9" s="109" t="s">
        <v>651</v>
      </c>
      <c r="H9" s="137" t="s">
        <v>48</v>
      </c>
      <c r="I9" s="50">
        <v>1</v>
      </c>
      <c r="J9" s="138"/>
      <c r="K9" s="138">
        <f t="shared" si="0"/>
        <v>0</v>
      </c>
      <c r="L9" s="16"/>
    </row>
    <row r="10" spans="1:12" ht="15">
      <c r="A10" s="11"/>
      <c r="B10" s="107"/>
      <c r="C10" s="68"/>
      <c r="D10" s="33"/>
      <c r="E10" s="57"/>
      <c r="F10" s="57"/>
      <c r="G10" s="109" t="s">
        <v>652</v>
      </c>
      <c r="H10" s="137" t="s">
        <v>48</v>
      </c>
      <c r="I10" s="50">
        <v>1</v>
      </c>
      <c r="J10" s="138"/>
      <c r="K10" s="138">
        <f t="shared" si="0"/>
        <v>0</v>
      </c>
      <c r="L10" s="16"/>
    </row>
    <row r="11" spans="1:12" ht="15">
      <c r="A11" s="11"/>
      <c r="B11" s="107"/>
      <c r="C11" s="68"/>
      <c r="D11" s="33"/>
      <c r="E11" s="57"/>
      <c r="F11" s="57"/>
      <c r="G11" s="109" t="s">
        <v>653</v>
      </c>
      <c r="H11" s="137" t="s">
        <v>48</v>
      </c>
      <c r="I11" s="50">
        <v>1</v>
      </c>
      <c r="J11" s="138"/>
      <c r="K11" s="138">
        <f t="shared" si="0"/>
        <v>0</v>
      </c>
      <c r="L11" s="16"/>
    </row>
    <row r="12" spans="1:12" ht="15">
      <c r="A12" s="11"/>
      <c r="B12" s="107"/>
      <c r="C12" s="68"/>
      <c r="D12" s="33"/>
      <c r="E12" s="57"/>
      <c r="F12" s="57"/>
      <c r="G12" s="109" t="s">
        <v>654</v>
      </c>
      <c r="H12" s="137" t="s">
        <v>48</v>
      </c>
      <c r="I12" s="50">
        <v>1</v>
      </c>
      <c r="J12" s="138"/>
      <c r="K12" s="138">
        <f t="shared" si="0"/>
        <v>0</v>
      </c>
      <c r="L12" s="16"/>
    </row>
    <row r="13" spans="1:12" ht="15">
      <c r="A13" s="11"/>
      <c r="B13" s="107"/>
      <c r="C13" s="68"/>
      <c r="D13" s="33"/>
      <c r="E13" s="57"/>
      <c r="F13" s="57"/>
      <c r="G13" s="109" t="s">
        <v>655</v>
      </c>
      <c r="H13" s="137" t="s">
        <v>48</v>
      </c>
      <c r="I13" s="50">
        <v>1</v>
      </c>
      <c r="J13" s="138"/>
      <c r="K13" s="138">
        <f t="shared" si="0"/>
        <v>0</v>
      </c>
      <c r="L13" s="16"/>
    </row>
    <row r="14" spans="1:12" ht="28">
      <c r="A14" s="11">
        <v>305</v>
      </c>
      <c r="B14" s="107" t="s">
        <v>656</v>
      </c>
      <c r="C14" s="68" t="s">
        <v>48</v>
      </c>
      <c r="D14" s="33">
        <v>34</v>
      </c>
      <c r="E14" s="57"/>
      <c r="F14" s="57">
        <f>E14*D14</f>
        <v>0</v>
      </c>
      <c r="G14" s="109" t="s">
        <v>657</v>
      </c>
      <c r="H14" s="137" t="s">
        <v>48</v>
      </c>
      <c r="I14" s="50">
        <v>25</v>
      </c>
      <c r="J14" s="138"/>
      <c r="K14" s="138">
        <f t="shared" si="0"/>
        <v>0</v>
      </c>
      <c r="L14" s="16"/>
    </row>
    <row r="15" spans="1:12" ht="28">
      <c r="A15" s="11"/>
      <c r="B15" s="107"/>
      <c r="C15" s="68"/>
      <c r="D15" s="33"/>
      <c r="E15" s="57"/>
      <c r="F15" s="57"/>
      <c r="G15" s="109" t="s">
        <v>658</v>
      </c>
      <c r="H15" s="137" t="s">
        <v>48</v>
      </c>
      <c r="I15" s="50">
        <v>8</v>
      </c>
      <c r="J15" s="138"/>
      <c r="K15" s="138">
        <f t="shared" si="0"/>
        <v>0</v>
      </c>
      <c r="L15" s="16"/>
    </row>
    <row r="16" spans="1:12" ht="28">
      <c r="A16" s="11"/>
      <c r="B16" s="107"/>
      <c r="C16" s="68"/>
      <c r="D16" s="33"/>
      <c r="E16" s="57"/>
      <c r="F16" s="57"/>
      <c r="G16" s="109" t="s">
        <v>659</v>
      </c>
      <c r="H16" s="137" t="s">
        <v>48</v>
      </c>
      <c r="I16" s="50">
        <v>1</v>
      </c>
      <c r="J16" s="138"/>
      <c r="K16" s="138">
        <f t="shared" si="0"/>
        <v>0</v>
      </c>
      <c r="L16" s="16"/>
    </row>
    <row r="17" spans="1:12" ht="15">
      <c r="A17" s="11">
        <v>306</v>
      </c>
      <c r="B17" s="258" t="s">
        <v>660</v>
      </c>
      <c r="C17" s="71" t="s">
        <v>48</v>
      </c>
      <c r="D17" s="34">
        <v>1</v>
      </c>
      <c r="E17" s="58"/>
      <c r="F17" s="57">
        <f>E17*D17</f>
        <v>0</v>
      </c>
      <c r="G17" s="171" t="s">
        <v>661</v>
      </c>
      <c r="H17" s="71" t="s">
        <v>48</v>
      </c>
      <c r="I17" s="38">
        <v>1</v>
      </c>
      <c r="J17" s="138"/>
      <c r="K17" s="138">
        <f t="shared" si="0"/>
        <v>0</v>
      </c>
      <c r="L17" s="16"/>
    </row>
    <row r="18" spans="1:12" ht="15">
      <c r="A18" s="11">
        <v>307</v>
      </c>
      <c r="B18" s="107" t="s">
        <v>662</v>
      </c>
      <c r="C18" s="68" t="s">
        <v>48</v>
      </c>
      <c r="D18" s="33">
        <v>18</v>
      </c>
      <c r="E18" s="57"/>
      <c r="F18" s="57">
        <f t="shared" ref="F18:F80" si="1">E18*D18</f>
        <v>0</v>
      </c>
      <c r="G18" s="109" t="s">
        <v>663</v>
      </c>
      <c r="H18" s="137" t="s">
        <v>48</v>
      </c>
      <c r="I18" s="50">
        <v>18</v>
      </c>
      <c r="J18" s="138"/>
      <c r="K18" s="138">
        <f t="shared" si="0"/>
        <v>0</v>
      </c>
      <c r="L18" s="16"/>
    </row>
    <row r="19" spans="1:12" ht="15">
      <c r="A19" s="11"/>
      <c r="B19" s="107"/>
      <c r="C19" s="68"/>
      <c r="D19" s="33"/>
      <c r="E19" s="57"/>
      <c r="F19" s="57"/>
      <c r="G19" s="109" t="s">
        <v>664</v>
      </c>
      <c r="H19" s="137" t="s">
        <v>48</v>
      </c>
      <c r="I19" s="50">
        <v>1</v>
      </c>
      <c r="J19" s="138"/>
      <c r="K19" s="138">
        <f t="shared" si="0"/>
        <v>0</v>
      </c>
      <c r="L19" s="16"/>
    </row>
    <row r="20" spans="1:12" ht="28">
      <c r="A20" s="11">
        <v>308</v>
      </c>
      <c r="B20" s="107" t="s">
        <v>665</v>
      </c>
      <c r="C20" s="68" t="s">
        <v>48</v>
      </c>
      <c r="D20" s="33">
        <v>1</v>
      </c>
      <c r="E20" s="57"/>
      <c r="F20" s="57">
        <f t="shared" si="1"/>
        <v>0</v>
      </c>
      <c r="G20" s="109" t="s">
        <v>666</v>
      </c>
      <c r="H20" s="137" t="s">
        <v>48</v>
      </c>
      <c r="I20" s="50">
        <v>1</v>
      </c>
      <c r="J20" s="138"/>
      <c r="K20" s="138">
        <f t="shared" si="0"/>
        <v>0</v>
      </c>
      <c r="L20" s="16"/>
    </row>
    <row r="21" spans="1:12" ht="28">
      <c r="A21" s="11">
        <v>309</v>
      </c>
      <c r="B21" s="107" t="s">
        <v>667</v>
      </c>
      <c r="C21" s="68" t="s">
        <v>48</v>
      </c>
      <c r="D21" s="33">
        <v>1</v>
      </c>
      <c r="E21" s="57"/>
      <c r="F21" s="57">
        <f t="shared" si="1"/>
        <v>0</v>
      </c>
      <c r="G21" s="109" t="s">
        <v>668</v>
      </c>
      <c r="H21" s="137" t="s">
        <v>48</v>
      </c>
      <c r="I21" s="50">
        <v>1</v>
      </c>
      <c r="J21" s="138"/>
      <c r="K21" s="138">
        <f t="shared" si="0"/>
        <v>0</v>
      </c>
      <c r="L21" s="16"/>
    </row>
    <row r="22" spans="1:12" ht="15">
      <c r="A22" s="11">
        <v>310</v>
      </c>
      <c r="B22" s="107" t="s">
        <v>669</v>
      </c>
      <c r="C22" s="68" t="s">
        <v>48</v>
      </c>
      <c r="D22" s="33">
        <v>1</v>
      </c>
      <c r="E22" s="57"/>
      <c r="F22" s="57">
        <f t="shared" si="1"/>
        <v>0</v>
      </c>
      <c r="G22" s="109" t="s">
        <v>670</v>
      </c>
      <c r="H22" s="137" t="s">
        <v>48</v>
      </c>
      <c r="I22" s="50">
        <v>1</v>
      </c>
      <c r="J22" s="138"/>
      <c r="K22" s="138">
        <f t="shared" si="0"/>
        <v>0</v>
      </c>
      <c r="L22" s="16"/>
    </row>
    <row r="23" spans="1:12" ht="15">
      <c r="A23" s="11">
        <v>311</v>
      </c>
      <c r="B23" s="107" t="s">
        <v>671</v>
      </c>
      <c r="C23" s="68" t="s">
        <v>48</v>
      </c>
      <c r="D23" s="33">
        <v>1</v>
      </c>
      <c r="E23" s="57"/>
      <c r="F23" s="57">
        <f t="shared" si="1"/>
        <v>0</v>
      </c>
      <c r="G23" s="109" t="s">
        <v>672</v>
      </c>
      <c r="H23" s="137" t="s">
        <v>48</v>
      </c>
      <c r="I23" s="50">
        <v>1</v>
      </c>
      <c r="J23" s="138"/>
      <c r="K23" s="138">
        <f t="shared" si="0"/>
        <v>0</v>
      </c>
      <c r="L23" s="16"/>
    </row>
    <row r="24" spans="1:12" ht="28">
      <c r="A24" s="11">
        <v>312</v>
      </c>
      <c r="B24" s="107" t="s">
        <v>673</v>
      </c>
      <c r="C24" s="68" t="s">
        <v>48</v>
      </c>
      <c r="D24" s="33">
        <v>1</v>
      </c>
      <c r="E24" s="57"/>
      <c r="F24" s="57">
        <f t="shared" si="1"/>
        <v>0</v>
      </c>
      <c r="G24" s="109" t="s">
        <v>674</v>
      </c>
      <c r="H24" s="137" t="s">
        <v>48</v>
      </c>
      <c r="I24" s="50">
        <v>1</v>
      </c>
      <c r="J24" s="138"/>
      <c r="K24" s="138">
        <f t="shared" si="0"/>
        <v>0</v>
      </c>
      <c r="L24" s="16"/>
    </row>
    <row r="25" spans="1:12" ht="15">
      <c r="A25" s="11"/>
      <c r="B25" s="108" t="s">
        <v>675</v>
      </c>
      <c r="C25" s="68"/>
      <c r="D25" s="35"/>
      <c r="E25" s="57"/>
      <c r="F25" s="57"/>
      <c r="G25" s="109"/>
      <c r="H25" s="137"/>
      <c r="I25" s="50"/>
      <c r="J25" s="138"/>
      <c r="K25" s="138"/>
      <c r="L25" s="16"/>
    </row>
    <row r="26" spans="1:12" ht="28">
      <c r="A26" s="11">
        <v>313</v>
      </c>
      <c r="B26" s="107" t="s">
        <v>676</v>
      </c>
      <c r="C26" s="68" t="s">
        <v>74</v>
      </c>
      <c r="D26" s="35">
        <v>2350</v>
      </c>
      <c r="E26" s="57"/>
      <c r="F26" s="57">
        <f>E26*D26</f>
        <v>0</v>
      </c>
      <c r="G26" s="109" t="s">
        <v>677</v>
      </c>
      <c r="H26" s="137" t="s">
        <v>43</v>
      </c>
      <c r="I26" s="50">
        <v>2300</v>
      </c>
      <c r="J26" s="138"/>
      <c r="K26" s="138">
        <f t="shared" si="0"/>
        <v>0</v>
      </c>
      <c r="L26" s="16"/>
    </row>
    <row r="27" spans="1:12" ht="15">
      <c r="A27" s="11"/>
      <c r="B27" s="107"/>
      <c r="C27" s="68"/>
      <c r="D27" s="35"/>
      <c r="E27" s="57"/>
      <c r="F27" s="57"/>
      <c r="G27" s="109" t="s">
        <v>678</v>
      </c>
      <c r="H27" s="137" t="s">
        <v>43</v>
      </c>
      <c r="I27" s="50">
        <v>50</v>
      </c>
      <c r="J27" s="138"/>
      <c r="K27" s="138">
        <f t="shared" si="0"/>
        <v>0</v>
      </c>
      <c r="L27" s="16"/>
    </row>
    <row r="28" spans="1:12" ht="15">
      <c r="A28" s="11"/>
      <c r="B28" s="108"/>
      <c r="C28" s="68"/>
      <c r="D28" s="35"/>
      <c r="E28" s="57"/>
      <c r="F28" s="57"/>
      <c r="G28" s="109" t="s">
        <v>679</v>
      </c>
      <c r="H28" s="137" t="s">
        <v>48</v>
      </c>
      <c r="I28" s="50">
        <v>2350</v>
      </c>
      <c r="J28" s="138"/>
      <c r="K28" s="138">
        <f t="shared" si="0"/>
        <v>0</v>
      </c>
      <c r="L28" s="16"/>
    </row>
    <row r="29" spans="1:12" ht="15">
      <c r="A29" s="11"/>
      <c r="B29" s="108"/>
      <c r="C29" s="68"/>
      <c r="D29" s="35"/>
      <c r="E29" s="57"/>
      <c r="F29" s="57"/>
      <c r="G29" s="109" t="s">
        <v>680</v>
      </c>
      <c r="H29" s="137" t="s">
        <v>48</v>
      </c>
      <c r="I29" s="50">
        <v>2350</v>
      </c>
      <c r="J29" s="138"/>
      <c r="K29" s="138">
        <f t="shared" si="0"/>
        <v>0</v>
      </c>
      <c r="L29" s="16"/>
    </row>
    <row r="30" spans="1:12" ht="15">
      <c r="A30" s="11">
        <v>314</v>
      </c>
      <c r="B30" s="109" t="s">
        <v>681</v>
      </c>
      <c r="C30" s="68" t="s">
        <v>74</v>
      </c>
      <c r="D30" s="35">
        <v>2560</v>
      </c>
      <c r="E30" s="57"/>
      <c r="F30" s="57">
        <f t="shared" si="1"/>
        <v>0</v>
      </c>
      <c r="G30" s="109" t="s">
        <v>682</v>
      </c>
      <c r="H30" s="137" t="s">
        <v>43</v>
      </c>
      <c r="I30" s="50">
        <v>1200</v>
      </c>
      <c r="J30" s="138"/>
      <c r="K30" s="138">
        <f t="shared" si="0"/>
        <v>0</v>
      </c>
      <c r="L30" s="16"/>
    </row>
    <row r="31" spans="1:12" ht="15">
      <c r="A31" s="11"/>
      <c r="B31" s="109"/>
      <c r="C31" s="68"/>
      <c r="D31" s="35"/>
      <c r="E31" s="57"/>
      <c r="F31" s="57"/>
      <c r="G31" s="109" t="s">
        <v>683</v>
      </c>
      <c r="H31" s="137" t="s">
        <v>43</v>
      </c>
      <c r="I31" s="50">
        <v>978</v>
      </c>
      <c r="J31" s="138"/>
      <c r="K31" s="138">
        <f t="shared" si="0"/>
        <v>0</v>
      </c>
      <c r="L31" s="16"/>
    </row>
    <row r="32" spans="1:12" ht="15">
      <c r="A32" s="11"/>
      <c r="B32" s="109"/>
      <c r="C32" s="68"/>
      <c r="D32" s="35"/>
      <c r="E32" s="57"/>
      <c r="F32" s="57"/>
      <c r="G32" s="109" t="s">
        <v>684</v>
      </c>
      <c r="H32" s="137" t="s">
        <v>43</v>
      </c>
      <c r="I32" s="50">
        <v>130</v>
      </c>
      <c r="J32" s="138"/>
      <c r="K32" s="138">
        <f t="shared" si="0"/>
        <v>0</v>
      </c>
      <c r="L32" s="16"/>
    </row>
    <row r="33" spans="1:12" ht="15">
      <c r="A33" s="11"/>
      <c r="B33" s="109"/>
      <c r="C33" s="68"/>
      <c r="D33" s="35"/>
      <c r="E33" s="57"/>
      <c r="F33" s="57"/>
      <c r="G33" s="109" t="s">
        <v>685</v>
      </c>
      <c r="H33" s="137" t="s">
        <v>43</v>
      </c>
      <c r="I33" s="50">
        <v>52</v>
      </c>
      <c r="J33" s="138"/>
      <c r="K33" s="138">
        <f t="shared" si="0"/>
        <v>0</v>
      </c>
      <c r="L33" s="16"/>
    </row>
    <row r="34" spans="1:12" ht="15">
      <c r="A34" s="11"/>
      <c r="B34" s="109"/>
      <c r="C34" s="68"/>
      <c r="D34" s="35"/>
      <c r="E34" s="57"/>
      <c r="F34" s="57"/>
      <c r="G34" s="109" t="s">
        <v>686</v>
      </c>
      <c r="H34" s="137" t="s">
        <v>43</v>
      </c>
      <c r="I34" s="50">
        <v>200</v>
      </c>
      <c r="J34" s="138"/>
      <c r="K34" s="138">
        <f t="shared" si="0"/>
        <v>0</v>
      </c>
      <c r="L34" s="16"/>
    </row>
    <row r="35" spans="1:12" ht="15">
      <c r="A35" s="11"/>
      <c r="B35" s="109"/>
      <c r="C35" s="68"/>
      <c r="D35" s="35"/>
      <c r="E35" s="57"/>
      <c r="F35" s="57"/>
      <c r="G35" s="109" t="s">
        <v>687</v>
      </c>
      <c r="H35" s="137" t="s">
        <v>48</v>
      </c>
      <c r="I35" s="50">
        <v>5120</v>
      </c>
      <c r="J35" s="138"/>
      <c r="K35" s="138">
        <f t="shared" si="0"/>
        <v>0</v>
      </c>
      <c r="L35" s="16"/>
    </row>
    <row r="36" spans="1:12" ht="28">
      <c r="A36" s="11"/>
      <c r="B36" s="109"/>
      <c r="C36" s="68"/>
      <c r="D36" s="35"/>
      <c r="E36" s="57"/>
      <c r="F36" s="57"/>
      <c r="G36" s="109" t="s">
        <v>688</v>
      </c>
      <c r="H36" s="137" t="s">
        <v>48</v>
      </c>
      <c r="I36" s="50">
        <v>512</v>
      </c>
      <c r="J36" s="138"/>
      <c r="K36" s="138">
        <f t="shared" si="0"/>
        <v>0</v>
      </c>
      <c r="L36" s="16"/>
    </row>
    <row r="37" spans="1:12" ht="15">
      <c r="A37" s="11"/>
      <c r="B37" s="109"/>
      <c r="C37" s="68"/>
      <c r="D37" s="35"/>
      <c r="E37" s="57"/>
      <c r="F37" s="57"/>
      <c r="G37" s="109" t="s">
        <v>689</v>
      </c>
      <c r="H37" s="137" t="s">
        <v>48</v>
      </c>
      <c r="I37" s="50">
        <v>20</v>
      </c>
      <c r="J37" s="138"/>
      <c r="K37" s="138">
        <f t="shared" si="0"/>
        <v>0</v>
      </c>
      <c r="L37" s="16"/>
    </row>
    <row r="38" spans="1:12" ht="15">
      <c r="A38" s="11">
        <v>315</v>
      </c>
      <c r="B38" s="109" t="s">
        <v>690</v>
      </c>
      <c r="C38" s="68" t="s">
        <v>74</v>
      </c>
      <c r="D38" s="35">
        <v>61</v>
      </c>
      <c r="E38" s="57"/>
      <c r="F38" s="57">
        <f t="shared" si="1"/>
        <v>0</v>
      </c>
      <c r="G38" s="109" t="s">
        <v>691</v>
      </c>
      <c r="H38" s="137" t="s">
        <v>43</v>
      </c>
      <c r="I38" s="50">
        <v>37</v>
      </c>
      <c r="J38" s="138"/>
      <c r="K38" s="138">
        <f t="shared" si="0"/>
        <v>0</v>
      </c>
      <c r="L38" s="16"/>
    </row>
    <row r="39" spans="1:12" ht="15">
      <c r="A39" s="11"/>
      <c r="B39" s="109"/>
      <c r="C39" s="68"/>
      <c r="D39" s="35"/>
      <c r="E39" s="57"/>
      <c r="F39" s="57"/>
      <c r="G39" s="109" t="s">
        <v>692</v>
      </c>
      <c r="H39" s="137" t="s">
        <v>43</v>
      </c>
      <c r="I39" s="50">
        <v>24</v>
      </c>
      <c r="J39" s="138"/>
      <c r="K39" s="138">
        <f t="shared" si="0"/>
        <v>0</v>
      </c>
      <c r="L39" s="16"/>
    </row>
    <row r="40" spans="1:12" ht="15">
      <c r="A40" s="11"/>
      <c r="B40" s="109"/>
      <c r="C40" s="68"/>
      <c r="D40" s="35"/>
      <c r="E40" s="57"/>
      <c r="F40" s="57"/>
      <c r="G40" s="109" t="s">
        <v>687</v>
      </c>
      <c r="H40" s="137" t="s">
        <v>48</v>
      </c>
      <c r="I40" s="50">
        <v>50</v>
      </c>
      <c r="J40" s="138"/>
      <c r="K40" s="138">
        <f t="shared" si="0"/>
        <v>0</v>
      </c>
      <c r="L40" s="16"/>
    </row>
    <row r="41" spans="1:12" ht="28">
      <c r="A41" s="11"/>
      <c r="B41" s="109"/>
      <c r="C41" s="68"/>
      <c r="D41" s="35"/>
      <c r="E41" s="57"/>
      <c r="F41" s="57"/>
      <c r="G41" s="109" t="s">
        <v>688</v>
      </c>
      <c r="H41" s="137" t="s">
        <v>48</v>
      </c>
      <c r="I41" s="50">
        <v>5</v>
      </c>
      <c r="J41" s="138"/>
      <c r="K41" s="138">
        <f t="shared" si="0"/>
        <v>0</v>
      </c>
      <c r="L41" s="16"/>
    </row>
    <row r="42" spans="1:12" ht="15">
      <c r="A42" s="11"/>
      <c r="B42" s="109"/>
      <c r="C42" s="68"/>
      <c r="D42" s="35"/>
      <c r="E42" s="57"/>
      <c r="F42" s="57"/>
      <c r="G42" s="109" t="s">
        <v>689</v>
      </c>
      <c r="H42" s="137" t="s">
        <v>48</v>
      </c>
      <c r="I42" s="50">
        <v>1</v>
      </c>
      <c r="J42" s="138"/>
      <c r="K42" s="138">
        <f t="shared" si="0"/>
        <v>0</v>
      </c>
      <c r="L42" s="16"/>
    </row>
    <row r="43" spans="1:12" ht="15">
      <c r="A43" s="11"/>
      <c r="B43" s="108" t="s">
        <v>693</v>
      </c>
      <c r="C43" s="68"/>
      <c r="D43" s="35"/>
      <c r="E43" s="57"/>
      <c r="F43" s="57"/>
      <c r="G43" s="109"/>
      <c r="H43" s="137"/>
      <c r="I43" s="50"/>
      <c r="J43" s="138"/>
      <c r="K43" s="138"/>
      <c r="L43" s="16"/>
    </row>
    <row r="44" spans="1:12" ht="15">
      <c r="A44" s="11">
        <v>316</v>
      </c>
      <c r="B44" s="109" t="s">
        <v>694</v>
      </c>
      <c r="C44" s="68" t="s">
        <v>48</v>
      </c>
      <c r="D44" s="35">
        <v>56</v>
      </c>
      <c r="E44" s="57"/>
      <c r="F44" s="57">
        <f t="shared" si="1"/>
        <v>0</v>
      </c>
      <c r="G44" s="109" t="s">
        <v>695</v>
      </c>
      <c r="H44" s="137" t="s">
        <v>48</v>
      </c>
      <c r="I44" s="50">
        <v>56</v>
      </c>
      <c r="J44" s="138"/>
      <c r="K44" s="138">
        <f t="shared" si="0"/>
        <v>0</v>
      </c>
      <c r="L44" s="16"/>
    </row>
    <row r="45" spans="1:12" ht="28">
      <c r="A45" s="11">
        <v>317</v>
      </c>
      <c r="B45" s="109" t="s">
        <v>696</v>
      </c>
      <c r="C45" s="68" t="s">
        <v>48</v>
      </c>
      <c r="D45" s="35">
        <v>212</v>
      </c>
      <c r="E45" s="57"/>
      <c r="F45" s="57">
        <f t="shared" si="1"/>
        <v>0</v>
      </c>
      <c r="G45" s="109" t="s">
        <v>697</v>
      </c>
      <c r="H45" s="137" t="s">
        <v>48</v>
      </c>
      <c r="I45" s="50">
        <v>212</v>
      </c>
      <c r="J45" s="138"/>
      <c r="K45" s="138">
        <f t="shared" si="0"/>
        <v>0</v>
      </c>
      <c r="L45" s="16"/>
    </row>
    <row r="46" spans="1:12" ht="28">
      <c r="A46" s="11">
        <v>318</v>
      </c>
      <c r="B46" s="109" t="s">
        <v>698</v>
      </c>
      <c r="C46" s="68" t="s">
        <v>48</v>
      </c>
      <c r="D46" s="35">
        <v>178</v>
      </c>
      <c r="E46" s="57"/>
      <c r="F46" s="57">
        <f t="shared" si="1"/>
        <v>0</v>
      </c>
      <c r="G46" s="109" t="s">
        <v>699</v>
      </c>
      <c r="H46" s="137" t="s">
        <v>48</v>
      </c>
      <c r="I46" s="50">
        <v>171</v>
      </c>
      <c r="J46" s="138"/>
      <c r="K46" s="138">
        <f t="shared" si="0"/>
        <v>0</v>
      </c>
      <c r="L46" s="16"/>
    </row>
    <row r="47" spans="1:12" ht="28">
      <c r="A47" s="11"/>
      <c r="B47" s="109"/>
      <c r="C47" s="68"/>
      <c r="D47" s="35"/>
      <c r="E47" s="57"/>
      <c r="F47" s="57"/>
      <c r="G47" s="109" t="s">
        <v>700</v>
      </c>
      <c r="H47" s="137" t="s">
        <v>48</v>
      </c>
      <c r="I47" s="50">
        <v>2</v>
      </c>
      <c r="J47" s="138"/>
      <c r="K47" s="138">
        <f t="shared" si="0"/>
        <v>0</v>
      </c>
      <c r="L47" s="16"/>
    </row>
    <row r="48" spans="1:12" ht="15">
      <c r="A48" s="11"/>
      <c r="B48" s="109"/>
      <c r="C48" s="68"/>
      <c r="D48" s="35"/>
      <c r="E48" s="57"/>
      <c r="F48" s="57"/>
      <c r="G48" s="172" t="s">
        <v>701</v>
      </c>
      <c r="H48" s="137" t="s">
        <v>48</v>
      </c>
      <c r="I48" s="50">
        <v>4</v>
      </c>
      <c r="J48" s="138"/>
      <c r="K48" s="138">
        <f t="shared" si="0"/>
        <v>0</v>
      </c>
      <c r="L48" s="16"/>
    </row>
    <row r="49" spans="1:12" ht="15">
      <c r="A49" s="11"/>
      <c r="B49" s="109"/>
      <c r="C49" s="68"/>
      <c r="D49" s="35"/>
      <c r="E49" s="57"/>
      <c r="F49" s="57"/>
      <c r="G49" s="172" t="s">
        <v>702</v>
      </c>
      <c r="H49" s="137" t="s">
        <v>48</v>
      </c>
      <c r="I49" s="50">
        <v>29</v>
      </c>
      <c r="J49" s="138"/>
      <c r="K49" s="138">
        <f t="shared" si="0"/>
        <v>0</v>
      </c>
      <c r="L49" s="16"/>
    </row>
    <row r="50" spans="1:12" ht="15">
      <c r="A50" s="11"/>
      <c r="B50" s="109"/>
      <c r="C50" s="68"/>
      <c r="D50" s="35"/>
      <c r="E50" s="57"/>
      <c r="F50" s="57"/>
      <c r="G50" s="172" t="s">
        <v>703</v>
      </c>
      <c r="H50" s="137" t="s">
        <v>48</v>
      </c>
      <c r="I50" s="50">
        <v>16</v>
      </c>
      <c r="J50" s="138"/>
      <c r="K50" s="138">
        <f t="shared" si="0"/>
        <v>0</v>
      </c>
      <c r="L50" s="16"/>
    </row>
    <row r="51" spans="1:12" ht="15">
      <c r="A51" s="11"/>
      <c r="B51" s="109"/>
      <c r="C51" s="68"/>
      <c r="D51" s="35"/>
      <c r="E51" s="57"/>
      <c r="F51" s="57"/>
      <c r="G51" s="172" t="s">
        <v>704</v>
      </c>
      <c r="H51" s="137" t="s">
        <v>48</v>
      </c>
      <c r="I51" s="50">
        <v>11</v>
      </c>
      <c r="J51" s="138"/>
      <c r="K51" s="138">
        <f t="shared" si="0"/>
        <v>0</v>
      </c>
      <c r="L51" s="16"/>
    </row>
    <row r="52" spans="1:12" ht="15">
      <c r="A52" s="11"/>
      <c r="B52" s="109"/>
      <c r="C52" s="68"/>
      <c r="D52" s="35"/>
      <c r="E52" s="57"/>
      <c r="F52" s="57"/>
      <c r="G52" s="172" t="s">
        <v>705</v>
      </c>
      <c r="H52" s="137" t="s">
        <v>48</v>
      </c>
      <c r="I52" s="50">
        <v>27</v>
      </c>
      <c r="J52" s="138"/>
      <c r="K52" s="138">
        <f t="shared" si="0"/>
        <v>0</v>
      </c>
      <c r="L52" s="16"/>
    </row>
    <row r="53" spans="1:12" ht="15">
      <c r="A53" s="11"/>
      <c r="B53" s="109"/>
      <c r="C53" s="68"/>
      <c r="D53" s="35"/>
      <c r="E53" s="57"/>
      <c r="F53" s="57"/>
      <c r="G53" s="172" t="s">
        <v>706</v>
      </c>
      <c r="H53" s="137" t="s">
        <v>48</v>
      </c>
      <c r="I53" s="50">
        <v>2</v>
      </c>
      <c r="J53" s="138"/>
      <c r="K53" s="138">
        <f t="shared" si="0"/>
        <v>0</v>
      </c>
      <c r="L53" s="16"/>
    </row>
    <row r="54" spans="1:12" ht="28">
      <c r="A54" s="11"/>
      <c r="B54" s="109"/>
      <c r="C54" s="68"/>
      <c r="D54" s="35"/>
      <c r="E54" s="57"/>
      <c r="F54" s="57"/>
      <c r="G54" s="172" t="s">
        <v>707</v>
      </c>
      <c r="H54" s="137" t="s">
        <v>48</v>
      </c>
      <c r="I54" s="50">
        <v>1</v>
      </c>
      <c r="J54" s="138"/>
      <c r="K54" s="138">
        <f t="shared" si="0"/>
        <v>0</v>
      </c>
      <c r="L54" s="16"/>
    </row>
    <row r="55" spans="1:12" ht="15">
      <c r="A55" s="11">
        <v>319</v>
      </c>
      <c r="B55" s="109" t="s">
        <v>708</v>
      </c>
      <c r="C55" s="68" t="s">
        <v>48</v>
      </c>
      <c r="D55" s="35">
        <v>29</v>
      </c>
      <c r="E55" s="57"/>
      <c r="F55" s="57">
        <f t="shared" si="1"/>
        <v>0</v>
      </c>
      <c r="G55" s="172" t="s">
        <v>709</v>
      </c>
      <c r="H55" s="137" t="s">
        <v>48</v>
      </c>
      <c r="I55" s="50">
        <v>16</v>
      </c>
      <c r="J55" s="138"/>
      <c r="K55" s="138">
        <f t="shared" si="0"/>
        <v>0</v>
      </c>
      <c r="L55" s="16"/>
    </row>
    <row r="56" spans="1:12" ht="15">
      <c r="A56" s="11">
        <v>320</v>
      </c>
      <c r="B56" s="109"/>
      <c r="C56" s="68"/>
      <c r="D56" s="35"/>
      <c r="E56" s="57"/>
      <c r="F56" s="57"/>
      <c r="G56" s="172" t="s">
        <v>710</v>
      </c>
      <c r="H56" s="137" t="s">
        <v>48</v>
      </c>
      <c r="I56" s="50">
        <v>13</v>
      </c>
      <c r="J56" s="138"/>
      <c r="K56" s="138">
        <f t="shared" si="0"/>
        <v>0</v>
      </c>
      <c r="L56" s="16"/>
    </row>
    <row r="57" spans="1:12" ht="28">
      <c r="A57" s="11">
        <v>321</v>
      </c>
      <c r="B57" s="109" t="s">
        <v>711</v>
      </c>
      <c r="C57" s="68" t="s">
        <v>48</v>
      </c>
      <c r="D57" s="35">
        <v>4</v>
      </c>
      <c r="E57" s="57"/>
      <c r="F57" s="57">
        <f t="shared" si="1"/>
        <v>0</v>
      </c>
      <c r="G57" s="12" t="s">
        <v>712</v>
      </c>
      <c r="H57" s="137" t="s">
        <v>48</v>
      </c>
      <c r="I57" s="50">
        <v>4</v>
      </c>
      <c r="J57" s="138"/>
      <c r="K57" s="138">
        <f t="shared" si="0"/>
        <v>0</v>
      </c>
      <c r="L57" s="16"/>
    </row>
    <row r="58" spans="1:12" ht="28">
      <c r="A58" s="11">
        <v>322</v>
      </c>
      <c r="B58" s="109" t="s">
        <v>713</v>
      </c>
      <c r="C58" s="68" t="s">
        <v>48</v>
      </c>
      <c r="D58" s="35">
        <v>48</v>
      </c>
      <c r="E58" s="57"/>
      <c r="F58" s="57">
        <f t="shared" si="1"/>
        <v>0</v>
      </c>
      <c r="G58" s="109" t="s">
        <v>714</v>
      </c>
      <c r="H58" s="137" t="s">
        <v>48</v>
      </c>
      <c r="I58" s="50">
        <v>48</v>
      </c>
      <c r="J58" s="138"/>
      <c r="K58" s="138">
        <f t="shared" si="0"/>
        <v>0</v>
      </c>
      <c r="L58" s="16"/>
    </row>
    <row r="59" spans="1:12" ht="15">
      <c r="A59" s="11">
        <v>323</v>
      </c>
      <c r="B59" s="109" t="s">
        <v>715</v>
      </c>
      <c r="C59" s="68" t="s">
        <v>74</v>
      </c>
      <c r="D59" s="35">
        <v>24</v>
      </c>
      <c r="E59" s="57"/>
      <c r="F59" s="57">
        <f t="shared" si="1"/>
        <v>0</v>
      </c>
      <c r="G59" s="173" t="s">
        <v>716</v>
      </c>
      <c r="H59" s="137" t="s">
        <v>43</v>
      </c>
      <c r="I59" s="50">
        <v>24</v>
      </c>
      <c r="J59" s="138"/>
      <c r="K59" s="138">
        <f t="shared" si="0"/>
        <v>0</v>
      </c>
      <c r="L59" s="16"/>
    </row>
    <row r="60" spans="1:12" ht="15">
      <c r="A60" s="11"/>
      <c r="B60" s="108" t="s">
        <v>717</v>
      </c>
      <c r="C60" s="72"/>
      <c r="D60" s="35"/>
      <c r="E60" s="59"/>
      <c r="F60" s="57"/>
      <c r="G60" s="174"/>
      <c r="H60" s="139"/>
      <c r="I60" s="51"/>
      <c r="J60" s="138"/>
      <c r="K60" s="138"/>
      <c r="L60" s="16"/>
    </row>
    <row r="61" spans="1:12" ht="28">
      <c r="A61" s="11">
        <v>324</v>
      </c>
      <c r="B61" s="109" t="s">
        <v>718</v>
      </c>
      <c r="C61" s="68" t="s">
        <v>48</v>
      </c>
      <c r="D61" s="35">
        <v>4</v>
      </c>
      <c r="E61" s="57"/>
      <c r="F61" s="57">
        <f t="shared" si="1"/>
        <v>0</v>
      </c>
      <c r="G61" s="109" t="s">
        <v>719</v>
      </c>
      <c r="H61" s="137" t="s">
        <v>48</v>
      </c>
      <c r="I61" s="50">
        <v>4</v>
      </c>
      <c r="J61" s="138"/>
      <c r="K61" s="138">
        <f t="shared" si="0"/>
        <v>0</v>
      </c>
      <c r="L61" s="16"/>
    </row>
    <row r="62" spans="1:12" ht="42">
      <c r="A62" s="11">
        <v>325</v>
      </c>
      <c r="B62" s="109" t="s">
        <v>718</v>
      </c>
      <c r="C62" s="68" t="s">
        <v>48</v>
      </c>
      <c r="D62" s="35">
        <v>1</v>
      </c>
      <c r="E62" s="57"/>
      <c r="F62" s="57">
        <f t="shared" si="1"/>
        <v>0</v>
      </c>
      <c r="G62" s="109" t="s">
        <v>720</v>
      </c>
      <c r="H62" s="137" t="s">
        <v>48</v>
      </c>
      <c r="I62" s="50">
        <v>1</v>
      </c>
      <c r="J62" s="138"/>
      <c r="K62" s="138">
        <f t="shared" si="0"/>
        <v>0</v>
      </c>
      <c r="L62" s="16"/>
    </row>
    <row r="63" spans="1:12" ht="42">
      <c r="A63" s="11">
        <v>326</v>
      </c>
      <c r="B63" s="109" t="s">
        <v>718</v>
      </c>
      <c r="C63" s="68" t="s">
        <v>48</v>
      </c>
      <c r="D63" s="35">
        <v>7</v>
      </c>
      <c r="E63" s="57"/>
      <c r="F63" s="57">
        <f t="shared" si="1"/>
        <v>0</v>
      </c>
      <c r="G63" s="109" t="s">
        <v>721</v>
      </c>
      <c r="H63" s="137" t="s">
        <v>48</v>
      </c>
      <c r="I63" s="50">
        <v>7</v>
      </c>
      <c r="J63" s="138"/>
      <c r="K63" s="138">
        <f t="shared" si="0"/>
        <v>0</v>
      </c>
      <c r="L63" s="16"/>
    </row>
    <row r="64" spans="1:12" ht="28">
      <c r="A64" s="11">
        <v>327</v>
      </c>
      <c r="B64" s="109" t="s">
        <v>718</v>
      </c>
      <c r="C64" s="68" t="s">
        <v>48</v>
      </c>
      <c r="D64" s="35">
        <v>24</v>
      </c>
      <c r="E64" s="57"/>
      <c r="F64" s="57">
        <f t="shared" si="1"/>
        <v>0</v>
      </c>
      <c r="G64" s="109" t="s">
        <v>722</v>
      </c>
      <c r="H64" s="137" t="s">
        <v>48</v>
      </c>
      <c r="I64" s="50">
        <v>24</v>
      </c>
      <c r="J64" s="138"/>
      <c r="K64" s="138">
        <f t="shared" si="0"/>
        <v>0</v>
      </c>
      <c r="L64" s="16"/>
    </row>
    <row r="65" spans="1:12" ht="15">
      <c r="A65" s="11">
        <v>328</v>
      </c>
      <c r="B65" s="109" t="s">
        <v>718</v>
      </c>
      <c r="C65" s="68" t="s">
        <v>48</v>
      </c>
      <c r="D65" s="35">
        <v>5</v>
      </c>
      <c r="E65" s="57"/>
      <c r="F65" s="57">
        <f t="shared" si="1"/>
        <v>0</v>
      </c>
      <c r="G65" s="109" t="s">
        <v>723</v>
      </c>
      <c r="H65" s="137" t="s">
        <v>48</v>
      </c>
      <c r="I65" s="50">
        <v>5</v>
      </c>
      <c r="J65" s="138"/>
      <c r="K65" s="138">
        <f t="shared" si="0"/>
        <v>0</v>
      </c>
      <c r="L65" s="16"/>
    </row>
    <row r="66" spans="1:12" ht="15">
      <c r="A66" s="11">
        <v>329</v>
      </c>
      <c r="B66" s="109" t="s">
        <v>724</v>
      </c>
      <c r="C66" s="68" t="s">
        <v>48</v>
      </c>
      <c r="D66" s="35">
        <v>53</v>
      </c>
      <c r="E66" s="57"/>
      <c r="F66" s="57">
        <f t="shared" si="1"/>
        <v>0</v>
      </c>
      <c r="G66" s="109" t="s">
        <v>725</v>
      </c>
      <c r="H66" s="137" t="s">
        <v>48</v>
      </c>
      <c r="I66" s="50">
        <v>23</v>
      </c>
      <c r="J66" s="138"/>
      <c r="K66" s="138">
        <f t="shared" si="0"/>
        <v>0</v>
      </c>
      <c r="L66" s="16"/>
    </row>
    <row r="67" spans="1:12" ht="15">
      <c r="A67" s="11"/>
      <c r="B67" s="109"/>
      <c r="C67" s="68"/>
      <c r="D67" s="35"/>
      <c r="E67" s="57"/>
      <c r="F67" s="57"/>
      <c r="G67" s="109" t="s">
        <v>726</v>
      </c>
      <c r="H67" s="137" t="s">
        <v>48</v>
      </c>
      <c r="I67" s="50">
        <v>30</v>
      </c>
      <c r="J67" s="138"/>
      <c r="K67" s="138">
        <f t="shared" si="0"/>
        <v>0</v>
      </c>
      <c r="L67" s="16"/>
    </row>
    <row r="68" spans="1:12" ht="15">
      <c r="A68" s="11">
        <v>330</v>
      </c>
      <c r="B68" s="109" t="s">
        <v>727</v>
      </c>
      <c r="C68" s="68" t="s">
        <v>48</v>
      </c>
      <c r="D68" s="35">
        <v>30</v>
      </c>
      <c r="E68" s="57"/>
      <c r="F68" s="57">
        <f t="shared" si="1"/>
        <v>0</v>
      </c>
      <c r="G68" s="109" t="s">
        <v>728</v>
      </c>
      <c r="H68" s="137" t="s">
        <v>48</v>
      </c>
      <c r="I68" s="50">
        <v>30</v>
      </c>
      <c r="J68" s="138"/>
      <c r="K68" s="138">
        <f t="shared" si="0"/>
        <v>0</v>
      </c>
      <c r="L68" s="16"/>
    </row>
    <row r="69" spans="1:12" ht="15">
      <c r="A69" s="11">
        <v>331</v>
      </c>
      <c r="B69" s="109" t="s">
        <v>729</v>
      </c>
      <c r="C69" s="68" t="s">
        <v>48</v>
      </c>
      <c r="D69" s="35">
        <v>20</v>
      </c>
      <c r="E69" s="57"/>
      <c r="F69" s="57">
        <f t="shared" si="1"/>
        <v>0</v>
      </c>
      <c r="G69" s="109" t="s">
        <v>730</v>
      </c>
      <c r="H69" s="137" t="s">
        <v>48</v>
      </c>
      <c r="I69" s="50">
        <v>20</v>
      </c>
      <c r="J69" s="138"/>
      <c r="K69" s="138">
        <f t="shared" si="0"/>
        <v>0</v>
      </c>
      <c r="L69" s="16"/>
    </row>
    <row r="70" spans="1:12" ht="15">
      <c r="A70" s="11">
        <v>332</v>
      </c>
      <c r="B70" s="109" t="s">
        <v>731</v>
      </c>
      <c r="C70" s="68" t="s">
        <v>48</v>
      </c>
      <c r="D70" s="35">
        <v>3</v>
      </c>
      <c r="E70" s="57"/>
      <c r="F70" s="57">
        <f t="shared" si="1"/>
        <v>0</v>
      </c>
      <c r="G70" s="109" t="s">
        <v>732</v>
      </c>
      <c r="H70" s="137" t="s">
        <v>48</v>
      </c>
      <c r="I70" s="50">
        <v>3</v>
      </c>
      <c r="J70" s="138"/>
      <c r="K70" s="138">
        <f t="shared" si="0"/>
        <v>0</v>
      </c>
      <c r="L70" s="16"/>
    </row>
    <row r="71" spans="1:12" ht="15">
      <c r="A71" s="11">
        <v>333</v>
      </c>
      <c r="B71" s="109" t="s">
        <v>733</v>
      </c>
      <c r="C71" s="68" t="s">
        <v>48</v>
      </c>
      <c r="D71" s="35">
        <v>36</v>
      </c>
      <c r="E71" s="57"/>
      <c r="F71" s="57">
        <f t="shared" si="1"/>
        <v>0</v>
      </c>
      <c r="G71" s="109" t="s">
        <v>734</v>
      </c>
      <c r="H71" s="137" t="s">
        <v>48</v>
      </c>
      <c r="I71" s="50">
        <v>36</v>
      </c>
      <c r="J71" s="138"/>
      <c r="K71" s="138">
        <f t="shared" ref="K71:K78" si="2">I71*J71</f>
        <v>0</v>
      </c>
      <c r="L71" s="16"/>
    </row>
    <row r="72" spans="1:12" ht="15">
      <c r="A72" s="11">
        <v>334</v>
      </c>
      <c r="B72" s="109" t="s">
        <v>735</v>
      </c>
      <c r="C72" s="68" t="s">
        <v>48</v>
      </c>
      <c r="D72" s="35">
        <v>11</v>
      </c>
      <c r="E72" s="57"/>
      <c r="F72" s="57">
        <f t="shared" si="1"/>
        <v>0</v>
      </c>
      <c r="G72" s="109" t="s">
        <v>736</v>
      </c>
      <c r="H72" s="137" t="s">
        <v>48</v>
      </c>
      <c r="I72" s="50">
        <v>4</v>
      </c>
      <c r="J72" s="138"/>
      <c r="K72" s="138">
        <f t="shared" si="2"/>
        <v>0</v>
      </c>
      <c r="L72" s="16"/>
    </row>
    <row r="73" spans="1:12" ht="15">
      <c r="A73" s="11"/>
      <c r="B73" s="109"/>
      <c r="C73" s="68"/>
      <c r="D73" s="35"/>
      <c r="E73" s="57"/>
      <c r="F73" s="57"/>
      <c r="G73" s="109" t="s">
        <v>737</v>
      </c>
      <c r="H73" s="137" t="s">
        <v>48</v>
      </c>
      <c r="I73" s="50">
        <v>7</v>
      </c>
      <c r="J73" s="138"/>
      <c r="K73" s="138">
        <f t="shared" si="2"/>
        <v>0</v>
      </c>
      <c r="L73" s="16"/>
    </row>
    <row r="74" spans="1:12" ht="15">
      <c r="A74" s="11">
        <v>335</v>
      </c>
      <c r="B74" s="109" t="s">
        <v>738</v>
      </c>
      <c r="C74" s="68" t="s">
        <v>48</v>
      </c>
      <c r="D74" s="35">
        <v>5</v>
      </c>
      <c r="E74" s="57"/>
      <c r="F74" s="57">
        <f t="shared" ref="F74" si="3">E74*D74</f>
        <v>0</v>
      </c>
      <c r="G74" s="109"/>
      <c r="H74" s="137"/>
      <c r="I74" s="50" t="s">
        <v>739</v>
      </c>
      <c r="J74" s="138"/>
      <c r="K74" s="138"/>
      <c r="L74" s="16"/>
    </row>
    <row r="75" spans="1:12" ht="15">
      <c r="A75" s="11">
        <v>336</v>
      </c>
      <c r="B75" s="109" t="s">
        <v>740</v>
      </c>
      <c r="C75" s="68" t="s">
        <v>48</v>
      </c>
      <c r="D75" s="35">
        <v>3</v>
      </c>
      <c r="E75" s="57"/>
      <c r="F75" s="57">
        <f t="shared" si="1"/>
        <v>0</v>
      </c>
      <c r="G75" s="109" t="s">
        <v>741</v>
      </c>
      <c r="H75" s="140" t="s">
        <v>48</v>
      </c>
      <c r="I75" s="52">
        <v>3</v>
      </c>
      <c r="J75" s="138"/>
      <c r="K75" s="138">
        <f t="shared" si="2"/>
        <v>0</v>
      </c>
      <c r="L75" s="16"/>
    </row>
    <row r="76" spans="1:12" ht="28">
      <c r="A76" s="11">
        <v>337</v>
      </c>
      <c r="B76" s="109" t="s">
        <v>718</v>
      </c>
      <c r="C76" s="68" t="s">
        <v>48</v>
      </c>
      <c r="D76" s="35">
        <v>11</v>
      </c>
      <c r="E76" s="57"/>
      <c r="F76" s="57">
        <f t="shared" si="1"/>
        <v>0</v>
      </c>
      <c r="G76" s="109" t="s">
        <v>742</v>
      </c>
      <c r="H76" s="140" t="s">
        <v>48</v>
      </c>
      <c r="I76" s="52">
        <v>11</v>
      </c>
      <c r="J76" s="138"/>
      <c r="K76" s="138">
        <f t="shared" si="2"/>
        <v>0</v>
      </c>
      <c r="L76" s="16"/>
    </row>
    <row r="77" spans="1:12" ht="15">
      <c r="A77" s="11">
        <v>338</v>
      </c>
      <c r="B77" s="109" t="s">
        <v>743</v>
      </c>
      <c r="C77" s="68" t="s">
        <v>74</v>
      </c>
      <c r="D77" s="35">
        <v>18</v>
      </c>
      <c r="E77" s="57"/>
      <c r="F77" s="57">
        <f t="shared" si="1"/>
        <v>0</v>
      </c>
      <c r="G77" s="109" t="s">
        <v>744</v>
      </c>
      <c r="H77" s="140" t="s">
        <v>48</v>
      </c>
      <c r="I77" s="52">
        <v>9</v>
      </c>
      <c r="J77" s="138"/>
      <c r="K77" s="138">
        <f t="shared" si="2"/>
        <v>0</v>
      </c>
      <c r="L77" s="16"/>
    </row>
    <row r="78" spans="1:12" ht="15">
      <c r="A78" s="11"/>
      <c r="B78" s="109"/>
      <c r="C78" s="68"/>
      <c r="D78" s="35"/>
      <c r="E78" s="57"/>
      <c r="F78" s="57"/>
      <c r="G78" s="109" t="s">
        <v>745</v>
      </c>
      <c r="H78" s="137" t="s">
        <v>48</v>
      </c>
      <c r="I78" s="50">
        <v>9</v>
      </c>
      <c r="J78" s="138"/>
      <c r="K78" s="138">
        <f t="shared" si="2"/>
        <v>0</v>
      </c>
      <c r="L78" s="16"/>
    </row>
    <row r="79" spans="1:12" ht="15">
      <c r="A79" s="11"/>
      <c r="B79" s="110" t="s">
        <v>746</v>
      </c>
      <c r="C79" s="68"/>
      <c r="D79" s="35"/>
      <c r="E79" s="57"/>
      <c r="F79" s="57"/>
      <c r="G79" s="109"/>
      <c r="H79" s="137"/>
      <c r="I79" s="50"/>
      <c r="J79" s="138"/>
      <c r="K79" s="138"/>
      <c r="L79" s="17"/>
    </row>
    <row r="80" spans="1:12" ht="15">
      <c r="A80" s="11">
        <v>339</v>
      </c>
      <c r="B80" s="109" t="s">
        <v>747</v>
      </c>
      <c r="C80" s="68" t="s">
        <v>161</v>
      </c>
      <c r="D80" s="35">
        <v>1</v>
      </c>
      <c r="E80" s="57"/>
      <c r="F80" s="57">
        <f t="shared" si="1"/>
        <v>0</v>
      </c>
      <c r="G80" s="109"/>
      <c r="H80" s="137"/>
      <c r="I80" s="50" t="s">
        <v>739</v>
      </c>
      <c r="J80" s="138"/>
      <c r="K80" s="138"/>
      <c r="L80" s="17"/>
    </row>
    <row r="83" spans="5:11">
      <c r="E83" t="s">
        <v>150</v>
      </c>
      <c r="F83" s="253">
        <f>SUM(F3:F80)</f>
        <v>0</v>
      </c>
      <c r="J83" t="s">
        <v>151</v>
      </c>
      <c r="K83" s="253">
        <f>SUM(K3:K80)</f>
        <v>0</v>
      </c>
    </row>
  </sheetData>
  <sheetProtection algorithmName="SHA-512" hashValue="peH4jMKJSLZHysUGUKu54xdTgAtoVr+4fP5LbJpNiswvltkuiEWY9MnBcI9YKjQM/OdC/4iFRtGbW/jyuCyFKQ==" saltValue="+nVRGjtWnL/sWooLWipfVg==" spinCount="100000" sheet="1" objects="1" scenarios="1"/>
  <protectedRanges>
    <protectedRange sqref="J3:J80" name="Materials"/>
    <protectedRange sqref="E3:E80" name="Works"/>
  </protectedRanges>
  <mergeCells count="7">
    <mergeCell ref="L1:L2"/>
    <mergeCell ref="A1:A2"/>
    <mergeCell ref="B1:B2"/>
    <mergeCell ref="C1:C2"/>
    <mergeCell ref="D1:D2"/>
    <mergeCell ref="E1:F1"/>
    <mergeCell ref="G1:K1"/>
  </mergeCells>
  <conditionalFormatting sqref="D75:D78">
    <cfRule type="expression" dxfId="18" priority="9">
      <formula>AND(NOT(ISBLANK(B75)),OR(ISBLANK(D75),D75=0))</formula>
    </cfRule>
  </conditionalFormatting>
  <conditionalFormatting sqref="D80 D30:D42 D44:D59 D61:D73">
    <cfRule type="expression" dxfId="17" priority="8">
      <formula>AND(NOT(ISBLANK(B30)),OR(ISBLANK(D30),D30=0))</formula>
    </cfRule>
  </conditionalFormatting>
  <conditionalFormatting sqref="I4:I42 I44:I59 I61:I70 I72 I74:I80">
    <cfRule type="expression" dxfId="16" priority="7">
      <formula>AND(NOT(ISBLANK(F4)),OR(ISBLANK(I4),I4=0))</formula>
    </cfRule>
  </conditionalFormatting>
  <conditionalFormatting sqref="I43">
    <cfRule type="expression" dxfId="15" priority="4">
      <formula>AND(NOT(ISBLANK(F43)),OR(ISBLANK(I43),I43=0))</formula>
    </cfRule>
  </conditionalFormatting>
  <conditionalFormatting sqref="I71">
    <cfRule type="expression" dxfId="14" priority="3">
      <formula>AND(NOT(ISBLANK(F71)),OR(ISBLANK(I71),I71=0))</formula>
    </cfRule>
  </conditionalFormatting>
  <conditionalFormatting sqref="D74">
    <cfRule type="expression" dxfId="13" priority="2">
      <formula>AND(NOT(ISBLANK(B74)),OR(ISBLANK(D74),D74=0))</formula>
    </cfRule>
  </conditionalFormatting>
  <conditionalFormatting sqref="I73">
    <cfRule type="expression" dxfId="12" priority="1">
      <formula>AND(NOT(ISBLANK(F73)),OR(ISBLANK(I73),I73=0))</formula>
    </cfRule>
  </conditionalFormatting>
  <dataValidations count="1">
    <dataValidation type="list" allowBlank="1" showInputMessage="1" showErrorMessage="1" sqref="G48:G56" xr:uid="{00000000-0002-0000-0700-000000000000}">
      <formula1>materials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65"/>
  <sheetViews>
    <sheetView topLeftCell="A2" workbookViewId="0">
      <selection activeCell="J6" sqref="J6"/>
    </sheetView>
  </sheetViews>
  <sheetFormatPr baseColWidth="10" defaultColWidth="8.83203125" defaultRowHeight="13"/>
  <cols>
    <col min="2" max="2" width="35.83203125" customWidth="1"/>
    <col min="7" max="7" width="42.33203125" customWidth="1"/>
    <col min="11" max="11" width="16.6640625" customWidth="1"/>
  </cols>
  <sheetData>
    <row r="1" spans="1:12">
      <c r="A1" s="285" t="s">
        <v>24</v>
      </c>
      <c r="B1" s="287" t="s">
        <v>25</v>
      </c>
      <c r="C1" s="288" t="s">
        <v>26</v>
      </c>
      <c r="D1" s="288" t="s">
        <v>27</v>
      </c>
      <c r="E1" s="289" t="s">
        <v>28</v>
      </c>
      <c r="F1" s="289"/>
      <c r="G1" s="290" t="s">
        <v>29</v>
      </c>
      <c r="H1" s="290"/>
      <c r="I1" s="290"/>
      <c r="J1" s="290"/>
      <c r="K1" s="290"/>
      <c r="L1" s="284" t="s">
        <v>30</v>
      </c>
    </row>
    <row r="2" spans="1:12" ht="28">
      <c r="A2" s="286"/>
      <c r="B2" s="287"/>
      <c r="C2" s="288"/>
      <c r="D2" s="288"/>
      <c r="E2" s="40" t="s">
        <v>31</v>
      </c>
      <c r="F2" s="40" t="s">
        <v>32</v>
      </c>
      <c r="G2" s="258" t="s">
        <v>33</v>
      </c>
      <c r="H2" s="259" t="s">
        <v>26</v>
      </c>
      <c r="I2" s="259" t="s">
        <v>27</v>
      </c>
      <c r="J2" s="40" t="s">
        <v>31</v>
      </c>
      <c r="K2" s="40" t="s">
        <v>32</v>
      </c>
      <c r="L2" s="284"/>
    </row>
    <row r="3" spans="1:12" ht="14">
      <c r="A3" s="11"/>
      <c r="B3" s="18" t="s">
        <v>748</v>
      </c>
      <c r="C3" s="62"/>
      <c r="D3" s="21"/>
      <c r="E3" s="22"/>
      <c r="F3" s="22"/>
      <c r="G3" s="106"/>
      <c r="H3" s="21"/>
      <c r="I3" s="145"/>
      <c r="J3" s="146"/>
      <c r="K3" s="136"/>
      <c r="L3" s="19"/>
    </row>
    <row r="4" spans="1:12" ht="112">
      <c r="A4" s="11">
        <v>340</v>
      </c>
      <c r="B4" s="3"/>
      <c r="C4" s="62"/>
      <c r="D4" s="21"/>
      <c r="E4" s="22"/>
      <c r="F4" s="44" t="s">
        <v>749</v>
      </c>
      <c r="G4" s="106" t="s">
        <v>750</v>
      </c>
      <c r="H4" s="137" t="s">
        <v>48</v>
      </c>
      <c r="I4" s="145">
        <v>5</v>
      </c>
      <c r="J4" s="151"/>
      <c r="K4" s="4">
        <f>J4*I4</f>
        <v>0</v>
      </c>
      <c r="L4" s="19"/>
    </row>
    <row r="5" spans="1:12" ht="112">
      <c r="A5" s="11">
        <v>341</v>
      </c>
      <c r="B5" s="3"/>
      <c r="C5" s="62"/>
      <c r="D5" s="21"/>
      <c r="E5" s="22"/>
      <c r="F5" s="44" t="s">
        <v>751</v>
      </c>
      <c r="G5" s="106" t="s">
        <v>750</v>
      </c>
      <c r="H5" s="137" t="s">
        <v>48</v>
      </c>
      <c r="I5" s="145">
        <v>4</v>
      </c>
      <c r="J5" s="151"/>
      <c r="K5" s="4">
        <f t="shared" ref="K5:K61" si="0">J5*I5</f>
        <v>0</v>
      </c>
      <c r="L5" s="19"/>
    </row>
    <row r="6" spans="1:12" ht="112">
      <c r="A6" s="11">
        <v>342</v>
      </c>
      <c r="B6" s="3"/>
      <c r="C6" s="62"/>
      <c r="D6" s="21"/>
      <c r="E6" s="22"/>
      <c r="F6" s="44" t="s">
        <v>752</v>
      </c>
      <c r="G6" s="106" t="s">
        <v>750</v>
      </c>
      <c r="H6" s="137" t="s">
        <v>48</v>
      </c>
      <c r="I6" s="145">
        <v>6</v>
      </c>
      <c r="J6" s="151"/>
      <c r="K6" s="4">
        <f t="shared" si="0"/>
        <v>0</v>
      </c>
      <c r="L6" s="19"/>
    </row>
    <row r="7" spans="1:12" ht="210">
      <c r="A7" s="11">
        <v>343</v>
      </c>
      <c r="B7" s="106"/>
      <c r="C7" s="62"/>
      <c r="D7" s="21"/>
      <c r="E7" s="22"/>
      <c r="F7" s="44" t="s">
        <v>753</v>
      </c>
      <c r="G7" s="106" t="s">
        <v>754</v>
      </c>
      <c r="H7" s="137" t="s">
        <v>48</v>
      </c>
      <c r="I7" s="145">
        <v>1</v>
      </c>
      <c r="J7" s="151"/>
      <c r="K7" s="4">
        <f t="shared" si="0"/>
        <v>0</v>
      </c>
      <c r="L7" s="19"/>
    </row>
    <row r="8" spans="1:12" ht="210">
      <c r="A8" s="11">
        <v>344</v>
      </c>
      <c r="B8" s="15"/>
      <c r="C8" s="65"/>
      <c r="D8" s="36"/>
      <c r="E8" s="60"/>
      <c r="F8" s="99" t="s">
        <v>755</v>
      </c>
      <c r="G8" s="64" t="s">
        <v>754</v>
      </c>
      <c r="H8" s="152" t="s">
        <v>48</v>
      </c>
      <c r="I8" s="153">
        <v>1</v>
      </c>
      <c r="J8" s="154"/>
      <c r="K8" s="155">
        <f t="shared" si="0"/>
        <v>0</v>
      </c>
      <c r="L8" s="19"/>
    </row>
    <row r="9" spans="1:12" ht="210">
      <c r="A9" s="11">
        <v>345</v>
      </c>
      <c r="B9" s="3"/>
      <c r="C9" s="62"/>
      <c r="D9" s="21"/>
      <c r="E9" s="22"/>
      <c r="F9" s="100" t="s">
        <v>756</v>
      </c>
      <c r="G9" s="14" t="s">
        <v>754</v>
      </c>
      <c r="H9" s="156" t="s">
        <v>48</v>
      </c>
      <c r="I9" s="37">
        <v>2</v>
      </c>
      <c r="J9" s="134"/>
      <c r="K9" s="4">
        <f t="shared" si="0"/>
        <v>0</v>
      </c>
      <c r="L9" s="19"/>
    </row>
    <row r="10" spans="1:12" ht="210">
      <c r="A10" s="11">
        <v>346</v>
      </c>
      <c r="B10" s="3"/>
      <c r="C10" s="62"/>
      <c r="D10" s="21"/>
      <c r="E10" s="22"/>
      <c r="F10" s="100" t="s">
        <v>757</v>
      </c>
      <c r="G10" s="14" t="s">
        <v>754</v>
      </c>
      <c r="H10" s="156" t="s">
        <v>48</v>
      </c>
      <c r="I10" s="37">
        <v>1</v>
      </c>
      <c r="J10" s="134"/>
      <c r="K10" s="4">
        <f t="shared" si="0"/>
        <v>0</v>
      </c>
      <c r="L10" s="19"/>
    </row>
    <row r="11" spans="1:12" ht="210">
      <c r="A11" s="11">
        <v>347</v>
      </c>
      <c r="B11" s="3"/>
      <c r="C11" s="62"/>
      <c r="D11" s="21"/>
      <c r="E11" s="22"/>
      <c r="F11" s="100" t="s">
        <v>758</v>
      </c>
      <c r="G11" s="14" t="s">
        <v>754</v>
      </c>
      <c r="H11" s="156" t="s">
        <v>48</v>
      </c>
      <c r="I11" s="37">
        <v>1</v>
      </c>
      <c r="J11" s="134"/>
      <c r="K11" s="4">
        <f t="shared" si="0"/>
        <v>0</v>
      </c>
      <c r="L11" s="19"/>
    </row>
    <row r="12" spans="1:12" ht="70">
      <c r="A12" s="11">
        <v>348</v>
      </c>
      <c r="B12" s="3"/>
      <c r="C12" s="62"/>
      <c r="D12" s="21"/>
      <c r="E12" s="22"/>
      <c r="F12" s="100" t="s">
        <v>759</v>
      </c>
      <c r="G12" s="14" t="s">
        <v>760</v>
      </c>
      <c r="H12" s="156" t="s">
        <v>48</v>
      </c>
      <c r="I12" s="37">
        <v>1</v>
      </c>
      <c r="J12" s="134"/>
      <c r="K12" s="4">
        <f t="shared" si="0"/>
        <v>0</v>
      </c>
      <c r="L12" s="19"/>
    </row>
    <row r="13" spans="1:12" ht="126">
      <c r="A13" s="11">
        <v>349</v>
      </c>
      <c r="B13" s="3"/>
      <c r="C13" s="62"/>
      <c r="D13" s="21"/>
      <c r="E13" s="22"/>
      <c r="F13" s="100" t="s">
        <v>761</v>
      </c>
      <c r="G13" s="14" t="s">
        <v>762</v>
      </c>
      <c r="H13" s="156" t="s">
        <v>48</v>
      </c>
      <c r="I13" s="37">
        <v>1</v>
      </c>
      <c r="J13" s="134"/>
      <c r="K13" s="4">
        <f t="shared" si="0"/>
        <v>0</v>
      </c>
      <c r="L13" s="19"/>
    </row>
    <row r="14" spans="1:12" ht="140">
      <c r="A14" s="11">
        <v>350</v>
      </c>
      <c r="B14" s="3"/>
      <c r="C14" s="62"/>
      <c r="D14" s="21"/>
      <c r="E14" s="22"/>
      <c r="F14" s="100" t="s">
        <v>763</v>
      </c>
      <c r="G14" s="14" t="s">
        <v>764</v>
      </c>
      <c r="H14" s="156" t="s">
        <v>48</v>
      </c>
      <c r="I14" s="37">
        <v>1</v>
      </c>
      <c r="J14" s="134"/>
      <c r="K14" s="4">
        <f t="shared" si="0"/>
        <v>0</v>
      </c>
      <c r="L14" s="19"/>
    </row>
    <row r="15" spans="1:12">
      <c r="A15" s="11">
        <v>351</v>
      </c>
      <c r="B15" s="3"/>
      <c r="C15" s="62"/>
      <c r="D15" s="21"/>
      <c r="E15" s="22"/>
      <c r="F15" s="100"/>
      <c r="G15" s="14"/>
      <c r="H15" s="156"/>
      <c r="I15" s="37"/>
      <c r="J15" s="134"/>
      <c r="K15" s="4"/>
      <c r="L15" s="19"/>
    </row>
    <row r="16" spans="1:12" ht="168">
      <c r="A16" s="11">
        <v>352</v>
      </c>
      <c r="B16" s="3"/>
      <c r="C16" s="62"/>
      <c r="D16" s="21"/>
      <c r="E16" s="22"/>
      <c r="F16" s="100" t="s">
        <v>765</v>
      </c>
      <c r="G16" s="14" t="s">
        <v>766</v>
      </c>
      <c r="H16" s="156" t="s">
        <v>48</v>
      </c>
      <c r="I16" s="37">
        <v>21</v>
      </c>
      <c r="J16" s="134"/>
      <c r="K16" s="4">
        <f t="shared" si="0"/>
        <v>0</v>
      </c>
      <c r="L16" s="19"/>
    </row>
    <row r="17" spans="1:12" ht="168">
      <c r="A17" s="11">
        <v>353</v>
      </c>
      <c r="B17" s="3"/>
      <c r="C17" s="62"/>
      <c r="D17" s="21"/>
      <c r="E17" s="22"/>
      <c r="F17" s="100" t="s">
        <v>767</v>
      </c>
      <c r="G17" s="14" t="s">
        <v>768</v>
      </c>
      <c r="H17" s="156" t="s">
        <v>48</v>
      </c>
      <c r="I17" s="37">
        <v>1</v>
      </c>
      <c r="J17" s="134"/>
      <c r="K17" s="4">
        <f t="shared" si="0"/>
        <v>0</v>
      </c>
      <c r="L17" s="19"/>
    </row>
    <row r="18" spans="1:12" ht="126">
      <c r="A18" s="11">
        <v>354</v>
      </c>
      <c r="B18" s="3"/>
      <c r="C18" s="62"/>
      <c r="D18" s="21"/>
      <c r="E18" s="22"/>
      <c r="F18" s="100" t="s">
        <v>769</v>
      </c>
      <c r="G18" s="14" t="s">
        <v>770</v>
      </c>
      <c r="H18" s="156" t="s">
        <v>48</v>
      </c>
      <c r="I18" s="37">
        <v>2</v>
      </c>
      <c r="J18" s="134"/>
      <c r="K18" s="4">
        <f t="shared" si="0"/>
        <v>0</v>
      </c>
      <c r="L18" s="19"/>
    </row>
    <row r="19" spans="1:12" ht="70">
      <c r="A19" s="11">
        <v>355</v>
      </c>
      <c r="B19" s="3"/>
      <c r="C19" s="62"/>
      <c r="D19" s="21"/>
      <c r="E19" s="22"/>
      <c r="F19" s="100" t="s">
        <v>771</v>
      </c>
      <c r="G19" s="14" t="s">
        <v>772</v>
      </c>
      <c r="H19" s="156" t="s">
        <v>48</v>
      </c>
      <c r="I19" s="37">
        <v>1</v>
      </c>
      <c r="J19" s="134"/>
      <c r="K19" s="4">
        <f t="shared" si="0"/>
        <v>0</v>
      </c>
      <c r="L19" s="19"/>
    </row>
    <row r="20" spans="1:12" ht="42">
      <c r="A20" s="11">
        <v>356</v>
      </c>
      <c r="B20" s="3"/>
      <c r="C20" s="62"/>
      <c r="D20" s="21"/>
      <c r="E20" s="22"/>
      <c r="F20" s="100" t="s">
        <v>773</v>
      </c>
      <c r="G20" s="14" t="s">
        <v>774</v>
      </c>
      <c r="H20" s="156" t="s">
        <v>48</v>
      </c>
      <c r="I20" s="37">
        <v>1</v>
      </c>
      <c r="J20" s="135"/>
      <c r="K20" s="4">
        <f t="shared" si="0"/>
        <v>0</v>
      </c>
      <c r="L20" s="19"/>
    </row>
    <row r="21" spans="1:12" ht="112">
      <c r="A21" s="11">
        <v>357</v>
      </c>
      <c r="B21" s="3"/>
      <c r="C21" s="62"/>
      <c r="D21" s="21"/>
      <c r="E21" s="22"/>
      <c r="F21" s="100" t="s">
        <v>775</v>
      </c>
      <c r="G21" s="14" t="s">
        <v>776</v>
      </c>
      <c r="H21" s="156" t="s">
        <v>48</v>
      </c>
      <c r="I21" s="37">
        <v>1</v>
      </c>
      <c r="J21" s="134"/>
      <c r="K21" s="4">
        <f t="shared" si="0"/>
        <v>0</v>
      </c>
      <c r="L21" s="19"/>
    </row>
    <row r="22" spans="1:12" ht="409.6">
      <c r="A22" s="11">
        <v>358</v>
      </c>
      <c r="B22" s="3"/>
      <c r="C22" s="62"/>
      <c r="D22" s="21"/>
      <c r="E22" s="22"/>
      <c r="F22" s="100" t="s">
        <v>777</v>
      </c>
      <c r="G22" s="14" t="s">
        <v>778</v>
      </c>
      <c r="H22" s="156" t="s">
        <v>48</v>
      </c>
      <c r="I22" s="37">
        <v>1</v>
      </c>
      <c r="J22" s="134"/>
      <c r="K22" s="4">
        <f t="shared" si="0"/>
        <v>0</v>
      </c>
      <c r="L22" s="19"/>
    </row>
    <row r="23" spans="1:12" ht="70">
      <c r="A23" s="11">
        <v>359</v>
      </c>
      <c r="B23" s="3"/>
      <c r="C23" s="62"/>
      <c r="D23" s="21"/>
      <c r="E23" s="22"/>
      <c r="F23" s="100" t="s">
        <v>779</v>
      </c>
      <c r="G23" s="14" t="s">
        <v>780</v>
      </c>
      <c r="H23" s="156" t="s">
        <v>48</v>
      </c>
      <c r="I23" s="37">
        <v>3</v>
      </c>
      <c r="J23" s="134"/>
      <c r="K23" s="4">
        <f t="shared" si="0"/>
        <v>0</v>
      </c>
      <c r="L23" s="19"/>
    </row>
    <row r="24" spans="1:12" ht="70">
      <c r="A24" s="11">
        <v>360</v>
      </c>
      <c r="B24" s="3"/>
      <c r="C24" s="62"/>
      <c r="D24" s="21"/>
      <c r="E24" s="22"/>
      <c r="F24" s="100" t="s">
        <v>781</v>
      </c>
      <c r="G24" s="14" t="s">
        <v>782</v>
      </c>
      <c r="H24" s="156" t="s">
        <v>48</v>
      </c>
      <c r="I24" s="37">
        <v>1</v>
      </c>
      <c r="J24" s="134"/>
      <c r="K24" s="4">
        <f t="shared" si="0"/>
        <v>0</v>
      </c>
      <c r="L24" s="19"/>
    </row>
    <row r="25" spans="1:12" ht="84">
      <c r="A25" s="11">
        <v>361</v>
      </c>
      <c r="B25" s="3"/>
      <c r="C25" s="62"/>
      <c r="D25" s="21"/>
      <c r="E25" s="22"/>
      <c r="F25" s="100" t="s">
        <v>783</v>
      </c>
      <c r="G25" s="14" t="s">
        <v>784</v>
      </c>
      <c r="H25" s="156" t="s">
        <v>48</v>
      </c>
      <c r="I25" s="37">
        <v>1</v>
      </c>
      <c r="J25" s="134"/>
      <c r="K25" s="4">
        <f t="shared" si="0"/>
        <v>0</v>
      </c>
      <c r="L25" s="19"/>
    </row>
    <row r="26" spans="1:12" ht="70">
      <c r="A26" s="11">
        <v>362</v>
      </c>
      <c r="B26" s="3"/>
      <c r="C26" s="62"/>
      <c r="D26" s="21"/>
      <c r="E26" s="22"/>
      <c r="F26" s="100" t="s">
        <v>785</v>
      </c>
      <c r="G26" s="14" t="s">
        <v>786</v>
      </c>
      <c r="H26" s="156" t="s">
        <v>48</v>
      </c>
      <c r="I26" s="37">
        <v>1</v>
      </c>
      <c r="J26" s="134"/>
      <c r="K26" s="4">
        <f t="shared" si="0"/>
        <v>0</v>
      </c>
      <c r="L26" s="19"/>
    </row>
    <row r="27" spans="1:12" ht="70">
      <c r="A27" s="11">
        <v>363</v>
      </c>
      <c r="B27" s="3"/>
      <c r="C27" s="62"/>
      <c r="D27" s="21"/>
      <c r="E27" s="22"/>
      <c r="F27" s="100" t="s">
        <v>787</v>
      </c>
      <c r="G27" s="14" t="s">
        <v>786</v>
      </c>
      <c r="H27" s="156" t="s">
        <v>48</v>
      </c>
      <c r="I27" s="37">
        <v>2</v>
      </c>
      <c r="J27" s="134"/>
      <c r="K27" s="4">
        <f t="shared" si="0"/>
        <v>0</v>
      </c>
      <c r="L27" s="19"/>
    </row>
    <row r="28" spans="1:12" ht="70">
      <c r="A28" s="11">
        <v>364</v>
      </c>
      <c r="B28" s="3"/>
      <c r="C28" s="62"/>
      <c r="D28" s="21"/>
      <c r="E28" s="22"/>
      <c r="F28" s="100" t="s">
        <v>788</v>
      </c>
      <c r="G28" s="14" t="s">
        <v>786</v>
      </c>
      <c r="H28" s="156" t="s">
        <v>48</v>
      </c>
      <c r="I28" s="37">
        <v>1</v>
      </c>
      <c r="J28" s="134"/>
      <c r="K28" s="4">
        <f t="shared" si="0"/>
        <v>0</v>
      </c>
      <c r="L28" s="19"/>
    </row>
    <row r="29" spans="1:12" ht="154">
      <c r="A29" s="11">
        <v>365</v>
      </c>
      <c r="B29" s="3"/>
      <c r="C29" s="62"/>
      <c r="D29" s="21"/>
      <c r="E29" s="22"/>
      <c r="F29" s="100" t="s">
        <v>789</v>
      </c>
      <c r="G29" s="14" t="s">
        <v>790</v>
      </c>
      <c r="H29" s="156" t="s">
        <v>48</v>
      </c>
      <c r="I29" s="37">
        <v>1</v>
      </c>
      <c r="J29" s="134"/>
      <c r="K29" s="4">
        <f t="shared" si="0"/>
        <v>0</v>
      </c>
      <c r="L29" s="19"/>
    </row>
    <row r="30" spans="1:12" ht="154">
      <c r="A30" s="11">
        <v>366</v>
      </c>
      <c r="B30" s="3"/>
      <c r="C30" s="62"/>
      <c r="D30" s="21"/>
      <c r="E30" s="22"/>
      <c r="F30" s="100" t="s">
        <v>791</v>
      </c>
      <c r="G30" s="14" t="s">
        <v>790</v>
      </c>
      <c r="H30" s="156" t="s">
        <v>48</v>
      </c>
      <c r="I30" s="37">
        <v>1</v>
      </c>
      <c r="J30" s="134"/>
      <c r="K30" s="4">
        <f t="shared" si="0"/>
        <v>0</v>
      </c>
      <c r="L30" s="19"/>
    </row>
    <row r="31" spans="1:12">
      <c r="A31" s="11">
        <v>367</v>
      </c>
      <c r="B31" s="3"/>
      <c r="C31" s="62"/>
      <c r="D31" s="21"/>
      <c r="E31" s="22"/>
      <c r="F31" s="100"/>
      <c r="G31" s="14"/>
      <c r="H31" s="156"/>
      <c r="I31" s="37"/>
      <c r="J31" s="134"/>
      <c r="K31" s="4"/>
      <c r="L31" s="19"/>
    </row>
    <row r="32" spans="1:12" ht="154">
      <c r="A32" s="11">
        <v>368</v>
      </c>
      <c r="B32" s="3"/>
      <c r="C32" s="62"/>
      <c r="D32" s="21"/>
      <c r="E32" s="22"/>
      <c r="F32" s="100" t="s">
        <v>792</v>
      </c>
      <c r="G32" s="14" t="s">
        <v>790</v>
      </c>
      <c r="H32" s="156" t="s">
        <v>48</v>
      </c>
      <c r="I32" s="37">
        <v>1</v>
      </c>
      <c r="J32" s="134"/>
      <c r="K32" s="4">
        <f t="shared" si="0"/>
        <v>0</v>
      </c>
      <c r="L32" s="19"/>
    </row>
    <row r="33" spans="1:12" ht="140">
      <c r="A33" s="11">
        <v>369</v>
      </c>
      <c r="B33" s="3"/>
      <c r="C33" s="62"/>
      <c r="D33" s="21"/>
      <c r="E33" s="22"/>
      <c r="F33" s="100" t="s">
        <v>793</v>
      </c>
      <c r="G33" s="14" t="s">
        <v>794</v>
      </c>
      <c r="H33" s="156" t="s">
        <v>48</v>
      </c>
      <c r="I33" s="37">
        <v>1</v>
      </c>
      <c r="J33" s="134"/>
      <c r="K33" s="4">
        <f t="shared" si="0"/>
        <v>0</v>
      </c>
      <c r="L33" s="19"/>
    </row>
    <row r="34" spans="1:12" ht="140">
      <c r="A34" s="11">
        <v>370</v>
      </c>
      <c r="B34" s="3"/>
      <c r="C34" s="62"/>
      <c r="D34" s="21"/>
      <c r="E34" s="22"/>
      <c r="F34" s="100" t="s">
        <v>795</v>
      </c>
      <c r="G34" s="14" t="s">
        <v>794</v>
      </c>
      <c r="H34" s="156" t="s">
        <v>48</v>
      </c>
      <c r="I34" s="37">
        <v>1</v>
      </c>
      <c r="J34" s="134"/>
      <c r="K34" s="4">
        <f t="shared" si="0"/>
        <v>0</v>
      </c>
      <c r="L34" s="19"/>
    </row>
    <row r="35" spans="1:12" ht="140">
      <c r="A35" s="11">
        <v>371</v>
      </c>
      <c r="B35" s="3"/>
      <c r="C35" s="62"/>
      <c r="D35" s="21"/>
      <c r="E35" s="22"/>
      <c r="F35" s="100" t="s">
        <v>796</v>
      </c>
      <c r="G35" s="14" t="s">
        <v>794</v>
      </c>
      <c r="H35" s="156" t="s">
        <v>48</v>
      </c>
      <c r="I35" s="37">
        <v>1</v>
      </c>
      <c r="J35" s="134"/>
      <c r="K35" s="4">
        <f t="shared" si="0"/>
        <v>0</v>
      </c>
      <c r="L35" s="19"/>
    </row>
    <row r="36" spans="1:12" ht="98">
      <c r="A36" s="11">
        <v>372</v>
      </c>
      <c r="B36" s="3"/>
      <c r="C36" s="62"/>
      <c r="D36" s="21"/>
      <c r="E36" s="22"/>
      <c r="F36" s="100" t="s">
        <v>797</v>
      </c>
      <c r="G36" s="14" t="s">
        <v>798</v>
      </c>
      <c r="H36" s="156" t="s">
        <v>48</v>
      </c>
      <c r="I36" s="37">
        <v>1</v>
      </c>
      <c r="J36" s="134"/>
      <c r="K36" s="4">
        <f t="shared" si="0"/>
        <v>0</v>
      </c>
      <c r="L36" s="19"/>
    </row>
    <row r="37" spans="1:12" ht="98">
      <c r="A37" s="11">
        <v>373</v>
      </c>
      <c r="B37" s="3"/>
      <c r="C37" s="62"/>
      <c r="D37" s="21"/>
      <c r="E37" s="22"/>
      <c r="F37" s="100" t="s">
        <v>799</v>
      </c>
      <c r="G37" s="14" t="s">
        <v>798</v>
      </c>
      <c r="H37" s="156" t="s">
        <v>48</v>
      </c>
      <c r="I37" s="37">
        <v>1</v>
      </c>
      <c r="J37" s="134"/>
      <c r="K37" s="4">
        <f t="shared" si="0"/>
        <v>0</v>
      </c>
      <c r="L37" s="19"/>
    </row>
    <row r="38" spans="1:12" ht="98">
      <c r="A38" s="11">
        <v>374</v>
      </c>
      <c r="B38" s="3"/>
      <c r="C38" s="62"/>
      <c r="D38" s="21"/>
      <c r="E38" s="22"/>
      <c r="F38" s="100" t="s">
        <v>800</v>
      </c>
      <c r="G38" s="14" t="s">
        <v>798</v>
      </c>
      <c r="H38" s="156" t="s">
        <v>48</v>
      </c>
      <c r="I38" s="37">
        <v>1</v>
      </c>
      <c r="J38" s="134"/>
      <c r="K38" s="4">
        <f t="shared" si="0"/>
        <v>0</v>
      </c>
      <c r="L38" s="19"/>
    </row>
    <row r="39" spans="1:12" ht="126">
      <c r="A39" s="11">
        <v>375</v>
      </c>
      <c r="B39" s="3"/>
      <c r="C39" s="62"/>
      <c r="D39" s="21"/>
      <c r="E39" s="22"/>
      <c r="F39" s="100" t="s">
        <v>801</v>
      </c>
      <c r="G39" s="14" t="s">
        <v>802</v>
      </c>
      <c r="H39" s="156" t="s">
        <v>48</v>
      </c>
      <c r="I39" s="37">
        <v>1</v>
      </c>
      <c r="J39" s="134"/>
      <c r="K39" s="4">
        <f t="shared" si="0"/>
        <v>0</v>
      </c>
      <c r="L39" s="19"/>
    </row>
    <row r="40" spans="1:12" ht="70">
      <c r="A40" s="11">
        <v>376</v>
      </c>
      <c r="B40" s="3"/>
      <c r="C40" s="62"/>
      <c r="D40" s="21"/>
      <c r="E40" s="22"/>
      <c r="F40" s="100" t="s">
        <v>803</v>
      </c>
      <c r="G40" s="14" t="s">
        <v>804</v>
      </c>
      <c r="H40" s="156" t="s">
        <v>48</v>
      </c>
      <c r="I40" s="37">
        <v>1</v>
      </c>
      <c r="J40" s="134"/>
      <c r="K40" s="4">
        <f t="shared" si="0"/>
        <v>0</v>
      </c>
      <c r="L40" s="19"/>
    </row>
    <row r="41" spans="1:12" ht="98">
      <c r="A41" s="11">
        <v>377</v>
      </c>
      <c r="B41" s="3"/>
      <c r="C41" s="62"/>
      <c r="D41" s="21"/>
      <c r="E41" s="22"/>
      <c r="F41" s="100" t="s">
        <v>805</v>
      </c>
      <c r="G41" s="14" t="s">
        <v>806</v>
      </c>
      <c r="H41" s="156" t="s">
        <v>48</v>
      </c>
      <c r="I41" s="37">
        <v>1</v>
      </c>
      <c r="J41" s="134"/>
      <c r="K41" s="4">
        <f t="shared" si="0"/>
        <v>0</v>
      </c>
      <c r="L41" s="19"/>
    </row>
    <row r="42" spans="1:12" ht="98">
      <c r="A42" s="11">
        <v>378</v>
      </c>
      <c r="B42" s="3"/>
      <c r="C42" s="62"/>
      <c r="D42" s="21"/>
      <c r="E42" s="22"/>
      <c r="F42" s="100" t="s">
        <v>807</v>
      </c>
      <c r="G42" s="14" t="s">
        <v>808</v>
      </c>
      <c r="H42" s="156" t="s">
        <v>48</v>
      </c>
      <c r="I42" s="37">
        <v>1</v>
      </c>
      <c r="J42" s="134"/>
      <c r="K42" s="4">
        <f t="shared" si="0"/>
        <v>0</v>
      </c>
      <c r="L42" s="19"/>
    </row>
    <row r="43" spans="1:12" ht="98">
      <c r="A43" s="11">
        <v>379</v>
      </c>
      <c r="B43" s="3"/>
      <c r="C43" s="62"/>
      <c r="D43" s="21"/>
      <c r="E43" s="22"/>
      <c r="F43" s="100" t="s">
        <v>809</v>
      </c>
      <c r="G43" s="14" t="s">
        <v>808</v>
      </c>
      <c r="H43" s="156" t="s">
        <v>48</v>
      </c>
      <c r="I43" s="37">
        <v>1</v>
      </c>
      <c r="J43" s="134"/>
      <c r="K43" s="4">
        <f t="shared" si="0"/>
        <v>0</v>
      </c>
      <c r="L43" s="19"/>
    </row>
    <row r="44" spans="1:12" ht="154">
      <c r="A44" s="11">
        <v>380</v>
      </c>
      <c r="B44" s="3"/>
      <c r="C44" s="62"/>
      <c r="D44" s="21"/>
      <c r="E44" s="22"/>
      <c r="F44" s="100" t="s">
        <v>810</v>
      </c>
      <c r="G44" s="14" t="s">
        <v>811</v>
      </c>
      <c r="H44" s="156" t="s">
        <v>48</v>
      </c>
      <c r="I44" s="37">
        <v>1</v>
      </c>
      <c r="J44" s="134"/>
      <c r="K44" s="4">
        <f t="shared" si="0"/>
        <v>0</v>
      </c>
      <c r="L44" s="19"/>
    </row>
    <row r="45" spans="1:12" ht="98">
      <c r="A45" s="11">
        <v>381</v>
      </c>
      <c r="B45" s="3"/>
      <c r="C45" s="62"/>
      <c r="D45" s="21"/>
      <c r="E45" s="22"/>
      <c r="F45" s="100" t="s">
        <v>812</v>
      </c>
      <c r="G45" s="14" t="s">
        <v>813</v>
      </c>
      <c r="H45" s="156" t="s">
        <v>48</v>
      </c>
      <c r="I45" s="37">
        <v>1</v>
      </c>
      <c r="J45" s="134"/>
      <c r="K45" s="4">
        <f t="shared" si="0"/>
        <v>0</v>
      </c>
      <c r="L45" s="19"/>
    </row>
    <row r="46" spans="1:12" ht="154">
      <c r="A46" s="11">
        <v>382</v>
      </c>
      <c r="B46" s="3" t="s">
        <v>814</v>
      </c>
      <c r="C46" s="62"/>
      <c r="D46" s="21"/>
      <c r="E46" s="22"/>
      <c r="F46" s="100" t="s">
        <v>815</v>
      </c>
      <c r="G46" s="14" t="s">
        <v>816</v>
      </c>
      <c r="H46" s="156" t="s">
        <v>48</v>
      </c>
      <c r="I46" s="37">
        <v>1</v>
      </c>
      <c r="J46" s="134"/>
      <c r="K46" s="4">
        <f t="shared" si="0"/>
        <v>0</v>
      </c>
      <c r="L46" s="19"/>
    </row>
    <row r="47" spans="1:12" ht="126">
      <c r="A47" s="11">
        <v>383</v>
      </c>
      <c r="B47" s="3"/>
      <c r="C47" s="62"/>
      <c r="D47" s="21"/>
      <c r="E47" s="22"/>
      <c r="F47" s="100" t="s">
        <v>817</v>
      </c>
      <c r="G47" s="14" t="s">
        <v>818</v>
      </c>
      <c r="H47" s="156" t="s">
        <v>48</v>
      </c>
      <c r="I47" s="37">
        <v>1</v>
      </c>
      <c r="J47" s="134"/>
      <c r="K47" s="4">
        <f t="shared" si="0"/>
        <v>0</v>
      </c>
      <c r="L47" s="19"/>
    </row>
    <row r="48" spans="1:12" ht="126">
      <c r="A48" s="11">
        <v>384</v>
      </c>
      <c r="B48" s="3"/>
      <c r="C48" s="62"/>
      <c r="D48" s="21"/>
      <c r="E48" s="22"/>
      <c r="F48" s="100" t="s">
        <v>819</v>
      </c>
      <c r="G48" s="14" t="s">
        <v>818</v>
      </c>
      <c r="H48" s="156" t="s">
        <v>48</v>
      </c>
      <c r="I48" s="37">
        <v>1</v>
      </c>
      <c r="J48" s="134"/>
      <c r="K48" s="4">
        <f t="shared" si="0"/>
        <v>0</v>
      </c>
      <c r="L48" s="19"/>
    </row>
    <row r="49" spans="1:12" ht="84">
      <c r="A49" s="11">
        <v>385</v>
      </c>
      <c r="B49" s="3"/>
      <c r="C49" s="62"/>
      <c r="D49" s="21"/>
      <c r="E49" s="22"/>
      <c r="F49" s="100" t="s">
        <v>820</v>
      </c>
      <c r="G49" s="14" t="s">
        <v>821</v>
      </c>
      <c r="H49" s="156" t="s">
        <v>48</v>
      </c>
      <c r="I49" s="37">
        <v>1</v>
      </c>
      <c r="J49" s="134"/>
      <c r="K49" s="4">
        <f t="shared" si="0"/>
        <v>0</v>
      </c>
      <c r="L49" s="19"/>
    </row>
    <row r="50" spans="1:12" ht="84">
      <c r="A50" s="11">
        <v>386</v>
      </c>
      <c r="B50" s="3"/>
      <c r="C50" s="62"/>
      <c r="D50" s="21"/>
      <c r="E50" s="22"/>
      <c r="F50" s="100" t="s">
        <v>822</v>
      </c>
      <c r="G50" s="14" t="s">
        <v>821</v>
      </c>
      <c r="H50" s="156" t="s">
        <v>48</v>
      </c>
      <c r="I50" s="37">
        <v>1</v>
      </c>
      <c r="J50" s="134"/>
      <c r="K50" s="4">
        <f t="shared" si="0"/>
        <v>0</v>
      </c>
      <c r="L50" s="19"/>
    </row>
    <row r="51" spans="1:12" ht="56">
      <c r="A51" s="11">
        <v>387</v>
      </c>
      <c r="B51" s="3"/>
      <c r="C51" s="62"/>
      <c r="D51" s="21"/>
      <c r="E51" s="22"/>
      <c r="F51" s="100" t="s">
        <v>823</v>
      </c>
      <c r="G51" s="14" t="s">
        <v>824</v>
      </c>
      <c r="H51" s="156" t="s">
        <v>48</v>
      </c>
      <c r="I51" s="37">
        <v>4</v>
      </c>
      <c r="J51" s="134"/>
      <c r="K51" s="4">
        <f t="shared" si="0"/>
        <v>0</v>
      </c>
      <c r="L51" s="19"/>
    </row>
    <row r="52" spans="1:12" ht="84">
      <c r="A52" s="11">
        <v>388</v>
      </c>
      <c r="B52" s="3"/>
      <c r="C52" s="62"/>
      <c r="D52" s="21"/>
      <c r="E52" s="22"/>
      <c r="F52" s="100" t="s">
        <v>825</v>
      </c>
      <c r="G52" s="14" t="s">
        <v>824</v>
      </c>
      <c r="H52" s="156" t="s">
        <v>48</v>
      </c>
      <c r="I52" s="37">
        <v>1</v>
      </c>
      <c r="J52" s="134"/>
      <c r="K52" s="4">
        <f t="shared" si="0"/>
        <v>0</v>
      </c>
      <c r="L52" s="19"/>
    </row>
    <row r="53" spans="1:12" ht="112">
      <c r="A53" s="11">
        <v>389</v>
      </c>
      <c r="B53" s="3"/>
      <c r="C53" s="62"/>
      <c r="D53" s="21"/>
      <c r="E53" s="22"/>
      <c r="F53" s="100" t="s">
        <v>826</v>
      </c>
      <c r="G53" s="14" t="s">
        <v>827</v>
      </c>
      <c r="H53" s="156" t="s">
        <v>48</v>
      </c>
      <c r="I53" s="37">
        <v>2</v>
      </c>
      <c r="J53" s="134"/>
      <c r="K53" s="4">
        <f t="shared" si="0"/>
        <v>0</v>
      </c>
      <c r="L53" s="19"/>
    </row>
    <row r="54" spans="1:12" ht="56">
      <c r="A54" s="11">
        <v>390</v>
      </c>
      <c r="B54" s="3"/>
      <c r="C54" s="62"/>
      <c r="D54" s="21"/>
      <c r="E54" s="22"/>
      <c r="F54" s="101" t="s">
        <v>828</v>
      </c>
      <c r="G54" s="63" t="s">
        <v>829</v>
      </c>
      <c r="H54" s="157" t="s">
        <v>48</v>
      </c>
      <c r="I54" s="158">
        <v>1</v>
      </c>
      <c r="J54" s="159"/>
      <c r="K54" s="160">
        <f t="shared" si="0"/>
        <v>0</v>
      </c>
      <c r="L54" s="19"/>
    </row>
    <row r="55" spans="1:12" ht="42">
      <c r="A55" s="11">
        <v>391</v>
      </c>
      <c r="B55" s="3"/>
      <c r="C55" s="62"/>
      <c r="D55" s="21"/>
      <c r="E55" s="22"/>
      <c r="F55" s="44" t="s">
        <v>830</v>
      </c>
      <c r="G55" s="106" t="s">
        <v>831</v>
      </c>
      <c r="H55" s="157" t="s">
        <v>74</v>
      </c>
      <c r="I55" s="145">
        <v>5</v>
      </c>
      <c r="J55" s="159"/>
      <c r="K55" s="160">
        <f t="shared" si="0"/>
        <v>0</v>
      </c>
      <c r="L55" s="19"/>
    </row>
    <row r="56" spans="1:12" ht="56">
      <c r="A56" s="11">
        <v>392</v>
      </c>
      <c r="B56" s="3"/>
      <c r="C56" s="62"/>
      <c r="D56" s="21"/>
      <c r="E56" s="22"/>
      <c r="F56" s="44" t="s">
        <v>832</v>
      </c>
      <c r="G56" s="106" t="s">
        <v>831</v>
      </c>
      <c r="H56" s="157" t="s">
        <v>74</v>
      </c>
      <c r="I56" s="145">
        <v>5</v>
      </c>
      <c r="J56" s="159"/>
      <c r="K56" s="160">
        <f t="shared" si="0"/>
        <v>0</v>
      </c>
      <c r="L56" s="19"/>
    </row>
    <row r="57" spans="1:12" ht="56">
      <c r="A57" s="11">
        <v>393</v>
      </c>
      <c r="B57" s="3"/>
      <c r="C57" s="62"/>
      <c r="D57" s="21"/>
      <c r="E57" s="22"/>
      <c r="F57" s="44" t="s">
        <v>833</v>
      </c>
      <c r="G57" s="106" t="s">
        <v>831</v>
      </c>
      <c r="H57" s="157" t="s">
        <v>74</v>
      </c>
      <c r="I57" s="145">
        <v>4</v>
      </c>
      <c r="J57" s="159"/>
      <c r="K57" s="160">
        <f t="shared" si="0"/>
        <v>0</v>
      </c>
      <c r="L57" s="19"/>
    </row>
    <row r="58" spans="1:12" ht="56">
      <c r="A58" s="11">
        <v>394</v>
      </c>
      <c r="B58" s="3"/>
      <c r="C58" s="62"/>
      <c r="D58" s="21"/>
      <c r="E58" s="22"/>
      <c r="F58" s="44" t="s">
        <v>834</v>
      </c>
      <c r="G58" s="106" t="s">
        <v>831</v>
      </c>
      <c r="H58" s="157" t="s">
        <v>74</v>
      </c>
      <c r="I58" s="145">
        <v>3</v>
      </c>
      <c r="J58" s="159"/>
      <c r="K58" s="160">
        <f t="shared" si="0"/>
        <v>0</v>
      </c>
      <c r="L58" s="19"/>
    </row>
    <row r="59" spans="1:12" ht="56">
      <c r="A59" s="11">
        <v>395</v>
      </c>
      <c r="B59" s="3"/>
      <c r="C59" s="62"/>
      <c r="D59" s="21"/>
      <c r="E59" s="22"/>
      <c r="F59" s="44" t="s">
        <v>835</v>
      </c>
      <c r="G59" s="106" t="s">
        <v>831</v>
      </c>
      <c r="H59" s="157" t="s">
        <v>74</v>
      </c>
      <c r="I59" s="145">
        <v>5</v>
      </c>
      <c r="J59" s="159"/>
      <c r="K59" s="160">
        <f t="shared" si="0"/>
        <v>0</v>
      </c>
      <c r="L59" s="19"/>
    </row>
    <row r="60" spans="1:12" ht="42">
      <c r="A60" s="11">
        <v>396</v>
      </c>
      <c r="B60" s="3"/>
      <c r="C60" s="62"/>
      <c r="D60" s="21"/>
      <c r="E60" s="22"/>
      <c r="F60" s="44" t="s">
        <v>836</v>
      </c>
      <c r="G60" s="106" t="s">
        <v>837</v>
      </c>
      <c r="H60" s="157" t="s">
        <v>48</v>
      </c>
      <c r="I60" s="175">
        <v>1</v>
      </c>
      <c r="J60" s="159"/>
      <c r="K60" s="160">
        <f t="shared" si="0"/>
        <v>0</v>
      </c>
      <c r="L60" s="19"/>
    </row>
    <row r="61" spans="1:12" ht="42">
      <c r="A61" s="11">
        <v>397</v>
      </c>
      <c r="B61" s="3"/>
      <c r="C61" s="62"/>
      <c r="D61" s="21"/>
      <c r="E61" s="22"/>
      <c r="F61" s="44" t="s">
        <v>836</v>
      </c>
      <c r="G61" s="106" t="s">
        <v>838</v>
      </c>
      <c r="H61" s="157" t="s">
        <v>48</v>
      </c>
      <c r="I61" s="175">
        <v>1</v>
      </c>
      <c r="J61" s="159"/>
      <c r="K61" s="160">
        <f t="shared" si="0"/>
        <v>0</v>
      </c>
      <c r="L61" s="19"/>
    </row>
    <row r="65" spans="5:11">
      <c r="E65" t="s">
        <v>150</v>
      </c>
      <c r="F65" s="253">
        <f>SUM(F3:F61)</f>
        <v>0</v>
      </c>
      <c r="J65" t="s">
        <v>151</v>
      </c>
      <c r="K65" s="253">
        <f>SUM(K3:K61)</f>
        <v>0</v>
      </c>
    </row>
  </sheetData>
  <sheetProtection algorithmName="SHA-512" hashValue="//7X+MtANF7g/UZHwhyume34jq6iQ/JrU8puElPcJ2N8AlP84+WbjwaRg0yxIWdyqUOIFtvdRywMWTTcbEswRQ==" saltValue="4hjBPESOt6g65Az8b3Z46w==" spinCount="100000" sheet="1" objects="1" scenarios="1"/>
  <protectedRanges>
    <protectedRange sqref="J3:J61" name="Materials"/>
  </protectedRanges>
  <mergeCells count="7">
    <mergeCell ref="L1:L2"/>
    <mergeCell ref="A1:A2"/>
    <mergeCell ref="B1:B2"/>
    <mergeCell ref="C1:C2"/>
    <mergeCell ref="D1:D2"/>
    <mergeCell ref="E1:F1"/>
    <mergeCell ref="G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Зведена форма</vt:lpstr>
      <vt:lpstr>Монтаж-Демонтаж</vt:lpstr>
      <vt:lpstr>Скляні перегородки, двері</vt:lpstr>
      <vt:lpstr>Стеля</vt:lpstr>
      <vt:lpstr>Підлога</vt:lpstr>
      <vt:lpstr>Сантехнічні роботи</vt:lpstr>
      <vt:lpstr>ОВіК</vt:lpstr>
      <vt:lpstr>Електромонтажні роботи</vt:lpstr>
      <vt:lpstr>Меблі корпусні</vt:lpstr>
      <vt:lpstr>Меблі готові</vt:lpstr>
      <vt:lpstr>СКС</vt:lpstr>
      <vt:lpstr>СПЗ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Oleksandr Briagin</cp:lastModifiedBy>
  <cp:revision/>
  <dcterms:created xsi:type="dcterms:W3CDTF">1996-10-08T23:32:33Z</dcterms:created>
  <dcterms:modified xsi:type="dcterms:W3CDTF">2020-12-17T13:00:18Z</dcterms:modified>
  <cp:category/>
  <cp:contentStatus/>
</cp:coreProperties>
</file>